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BEB" lockStructure="1"/>
  <bookViews>
    <workbookView xWindow="612" yWindow="312" windowWidth="10968" windowHeight="10716" tabRatio="687" activeTab="9"/>
  </bookViews>
  <sheets>
    <sheet name="Invoer en resultaten" sheetId="7" r:id="rId1"/>
    <sheet name="Gegevens" sheetId="5" r:id="rId2"/>
    <sheet name="vakwerk gegevens" sheetId="8" state="hidden" r:id="rId3"/>
    <sheet name="constanten Norm" sheetId="4" state="hidden" r:id="rId4"/>
    <sheet name="berekeningsprogramma" sheetId="6" state="hidden" r:id="rId5"/>
    <sheet name="krachten 100%" sheetId="1" state="hidden" r:id="rId6"/>
    <sheet name="krachten 50%" sheetId="2" state="hidden" r:id="rId7"/>
    <sheet name="krachten 30%" sheetId="3" state="hidden" r:id="rId8"/>
    <sheet name="Sokkelberekening" sheetId="9" r:id="rId9"/>
    <sheet name="Print" sheetId="10" r:id="rId10"/>
    <sheet name="Blad1" sheetId="11" r:id="rId11"/>
  </sheets>
  <definedNames>
    <definedName name="_xlnm.Print_Area" localSheetId="1">Gegevens!$A$1:$K$50</definedName>
    <definedName name="_xlnm.Print_Area" localSheetId="0">'Invoer en resultaten'!$A$1:$N$40</definedName>
    <definedName name="_xlnm.Print_Area" localSheetId="9">Print!$A$1:$O$47</definedName>
    <definedName name="_xlnm.Print_Area" localSheetId="8">Sokkelberekening!$A$1:$M$46</definedName>
    <definedName name="B">Sokkelberekening!$C$16</definedName>
    <definedName name="D">Sokkelberekening!$C$17</definedName>
    <definedName name="H">Sokkelberekening!$C$15</definedName>
    <definedName name="height2" localSheetId="8">Sokkelberekening!$D$35</definedName>
    <definedName name="k_">Sokkelberekening!$C$31</definedName>
    <definedName name="Kies_k" localSheetId="8">Sokkelberekening!$C$21:$C$24</definedName>
    <definedName name="kies_k">Sokkelberekening!$C$26</definedName>
    <definedName name="LANGUAGE" localSheetId="8">Sokkelberekening!$L$9</definedName>
    <definedName name="Mst">Sokkelberekening!$C$35</definedName>
    <definedName name="TAALTABEL" localSheetId="8">Sokkelberekening!$T$11:$W$119</definedName>
    <definedName name="volume">Sokkelberekening!$C$18</definedName>
  </definedNames>
  <calcPr calcId="145621"/>
</workbook>
</file>

<file path=xl/calcChain.xml><?xml version="1.0" encoding="utf-8"?>
<calcChain xmlns="http://schemas.openxmlformats.org/spreadsheetml/2006/main">
  <c r="D112" i="8" l="1"/>
  <c r="F11" i="6"/>
  <c r="D115" i="6" s="1"/>
  <c r="D181" i="6" s="1"/>
  <c r="F9" i="6"/>
  <c r="C13" i="9" l="1"/>
  <c r="C30" i="9"/>
  <c r="E18" i="7"/>
  <c r="E19" i="7"/>
  <c r="E22" i="7"/>
  <c r="E23" i="7"/>
  <c r="C24" i="7"/>
  <c r="E26" i="7"/>
  <c r="E27" i="7"/>
  <c r="C28" i="7"/>
  <c r="E38" i="9" l="1"/>
  <c r="D38" i="9"/>
  <c r="B38" i="9"/>
  <c r="C38" i="9" l="1"/>
  <c r="C32" i="9"/>
  <c r="B93" i="6"/>
  <c r="B94" i="6"/>
  <c r="D17" i="5"/>
  <c r="C143" i="8"/>
  <c r="C144" i="8" s="1"/>
  <c r="D12" i="5" l="1"/>
  <c r="D9" i="8" l="1"/>
  <c r="G9" i="8"/>
  <c r="C145" i="8"/>
  <c r="C141" i="8"/>
  <c r="C140" i="8"/>
  <c r="D111" i="8"/>
  <c r="D110" i="8"/>
  <c r="D109" i="8"/>
  <c r="D12" i="8"/>
  <c r="D6" i="8"/>
  <c r="D7" i="8"/>
  <c r="D5" i="8"/>
  <c r="D45" i="8"/>
  <c r="D84" i="8" s="1"/>
  <c r="D34" i="8"/>
  <c r="D35" i="8" s="1"/>
  <c r="E171" i="8"/>
  <c r="F171" i="8"/>
  <c r="C142" i="8" l="1"/>
  <c r="F156" i="8"/>
  <c r="D157" i="8"/>
  <c r="D156" i="8"/>
  <c r="E157" i="8"/>
  <c r="E156" i="8"/>
  <c r="F157" i="8"/>
  <c r="F163" i="8"/>
  <c r="E162" i="8"/>
  <c r="D163" i="8"/>
  <c r="F162" i="8"/>
  <c r="E163" i="8"/>
  <c r="D162" i="8"/>
  <c r="D46" i="8"/>
  <c r="D85" i="8" s="1"/>
  <c r="D86" i="8" s="1"/>
  <c r="D90" i="8" l="1"/>
  <c r="D89" i="8" s="1"/>
  <c r="D87" i="8"/>
  <c r="G12" i="8"/>
  <c r="D36" i="8" l="1"/>
  <c r="D37" i="8" l="1"/>
  <c r="D41" i="8"/>
  <c r="D74" i="8"/>
  <c r="D73" i="8"/>
  <c r="D171" i="8" s="1"/>
  <c r="G15" i="8"/>
  <c r="D15" i="8"/>
  <c r="D40" i="8" l="1"/>
  <c r="D38" i="8"/>
  <c r="F74" i="8"/>
  <c r="F75" i="8" s="1"/>
  <c r="E74" i="8"/>
  <c r="E75" i="8" s="1"/>
  <c r="D13" i="8"/>
  <c r="D75" i="8"/>
  <c r="G13" i="8"/>
  <c r="F77" i="8" l="1"/>
  <c r="F78" i="8" s="1"/>
  <c r="F93" i="8"/>
  <c r="F96" i="8" s="1"/>
  <c r="D77" i="8"/>
  <c r="D78" i="8" s="1"/>
  <c r="D93" i="8"/>
  <c r="D96" i="8" s="1"/>
  <c r="E77" i="8"/>
  <c r="E78" i="8" s="1"/>
  <c r="E93" i="8"/>
  <c r="E96" i="8" s="1"/>
  <c r="C57" i="6" l="1"/>
  <c r="C18" i="6" l="1"/>
  <c r="C13" i="6"/>
  <c r="F19" i="6"/>
  <c r="F20" i="6"/>
  <c r="F21" i="6"/>
  <c r="D139" i="6" s="1"/>
  <c r="F181" i="6" s="1"/>
  <c r="F18" i="6"/>
  <c r="F14" i="6"/>
  <c r="F15" i="6"/>
  <c r="F16" i="6"/>
  <c r="D127" i="6" s="1"/>
  <c r="E181" i="6" s="1"/>
  <c r="F13" i="6"/>
  <c r="F10" i="6"/>
  <c r="F8" i="6"/>
  <c r="C10" i="6"/>
  <c r="C11" i="6"/>
  <c r="C8" i="6"/>
  <c r="E25" i="6" l="1"/>
  <c r="E40" i="6"/>
  <c r="G39" i="6"/>
  <c r="E39" i="6"/>
  <c r="E9" i="6"/>
  <c r="E8" i="6"/>
  <c r="I118" i="6"/>
  <c r="I119" i="6"/>
  <c r="I120" i="6"/>
  <c r="I121" i="6"/>
  <c r="I122" i="6"/>
  <c r="I117" i="6"/>
  <c r="G122" i="6"/>
  <c r="E42" i="6" l="1"/>
  <c r="G38" i="6"/>
  <c r="E38" i="6"/>
  <c r="E41" i="6"/>
  <c r="E37" i="6"/>
  <c r="E36" i="6"/>
  <c r="G33" i="6"/>
  <c r="G32" i="6"/>
  <c r="E32" i="6"/>
  <c r="E33" i="6"/>
  <c r="E34" i="6"/>
  <c r="E35" i="6"/>
  <c r="E31" i="6"/>
  <c r="G27" i="6"/>
  <c r="E30" i="6"/>
  <c r="E26" i="6"/>
  <c r="E27" i="6"/>
  <c r="E28" i="6"/>
  <c r="E29" i="6"/>
  <c r="G26" i="6"/>
  <c r="E18" i="6"/>
  <c r="E19" i="6"/>
  <c r="E13" i="6"/>
  <c r="E14" i="6"/>
  <c r="E46" i="6"/>
  <c r="F46" i="6"/>
  <c r="G46" i="6"/>
  <c r="H46" i="6"/>
  <c r="E47" i="6"/>
  <c r="F47" i="6"/>
  <c r="G47" i="6"/>
  <c r="H47" i="6"/>
  <c r="D47" i="6"/>
  <c r="D46" i="6"/>
  <c r="J28" i="6" l="1"/>
  <c r="J29" i="6"/>
  <c r="D25" i="8"/>
  <c r="I44" i="6"/>
  <c r="I42" i="6"/>
  <c r="I36" i="6"/>
  <c r="H193" i="6"/>
  <c r="H86" i="6"/>
  <c r="F193" i="6"/>
  <c r="F86" i="6"/>
  <c r="E193" i="6"/>
  <c r="E86" i="6"/>
  <c r="G193" i="6"/>
  <c r="G86" i="6"/>
  <c r="D24" i="8"/>
  <c r="D26" i="8" s="1"/>
  <c r="D86" i="6"/>
  <c r="D193" i="6"/>
  <c r="H150" i="6"/>
  <c r="D150" i="6"/>
  <c r="F150" i="6"/>
  <c r="E150" i="6"/>
  <c r="G150" i="6"/>
  <c r="J27" i="6"/>
  <c r="K27" i="6" s="1"/>
  <c r="C39" i="3"/>
  <c r="Q104" i="6"/>
  <c r="K104" i="6"/>
  <c r="E104" i="6"/>
  <c r="B69" i="1"/>
  <c r="C74" i="6"/>
  <c r="C171" i="6" s="1"/>
  <c r="D45" i="6"/>
  <c r="D43" i="8" s="1"/>
  <c r="H48" i="6"/>
  <c r="H49" i="6" s="1"/>
  <c r="G48" i="6"/>
  <c r="G49" i="6" s="1"/>
  <c r="F48" i="6"/>
  <c r="F49" i="6" s="1"/>
  <c r="E48" i="6"/>
  <c r="E49" i="6" s="1"/>
  <c r="D48" i="6"/>
  <c r="D49" i="6" s="1"/>
  <c r="I37" i="6"/>
  <c r="I31" i="6"/>
  <c r="I30" i="6"/>
  <c r="I25" i="6"/>
  <c r="D13" i="5"/>
  <c r="C58" i="6" s="1"/>
  <c r="C56" i="6"/>
  <c r="D16" i="5"/>
  <c r="D15" i="5"/>
  <c r="D14" i="5"/>
  <c r="C54" i="6" s="1"/>
  <c r="E29" i="1"/>
  <c r="F29" i="1"/>
  <c r="G29" i="1"/>
  <c r="H29" i="1"/>
  <c r="E6" i="2"/>
  <c r="B69" i="2" s="1"/>
  <c r="B70" i="1" s="1"/>
  <c r="G6" i="2"/>
  <c r="I5" i="2" s="1"/>
  <c r="E7" i="2"/>
  <c r="E5" i="2"/>
  <c r="M8" i="2"/>
  <c r="G7" i="2"/>
  <c r="E8" i="2"/>
  <c r="E9" i="2"/>
  <c r="C39" i="2"/>
  <c r="C40" i="2"/>
  <c r="E10" i="2"/>
  <c r="E16" i="2"/>
  <c r="E11" i="2"/>
  <c r="G12" i="2"/>
  <c r="E13" i="2"/>
  <c r="G13" i="2"/>
  <c r="E14" i="2"/>
  <c r="M18" i="2"/>
  <c r="E12" i="2"/>
  <c r="M16" i="2"/>
  <c r="M17" i="2"/>
  <c r="E15" i="2"/>
  <c r="M19" i="2"/>
  <c r="E22" i="2"/>
  <c r="E17" i="2"/>
  <c r="G18" i="2"/>
  <c r="E19" i="2"/>
  <c r="G19" i="2"/>
  <c r="E20" i="2"/>
  <c r="M24" i="2"/>
  <c r="E18" i="2"/>
  <c r="I17" i="2" s="1"/>
  <c r="M22" i="2"/>
  <c r="M23" i="2"/>
  <c r="E21" i="2"/>
  <c r="M25" i="2"/>
  <c r="D27" i="2"/>
  <c r="D28" i="2"/>
  <c r="D29" i="2"/>
  <c r="D30" i="2"/>
  <c r="D31" i="2"/>
  <c r="D32" i="2"/>
  <c r="E27" i="2"/>
  <c r="E28" i="2"/>
  <c r="E29" i="2"/>
  <c r="E30" i="2"/>
  <c r="E31" i="2"/>
  <c r="E32" i="2"/>
  <c r="F27" i="2"/>
  <c r="F28" i="2"/>
  <c r="F29" i="2"/>
  <c r="F30" i="2"/>
  <c r="F31" i="2"/>
  <c r="G27" i="2"/>
  <c r="G28" i="2"/>
  <c r="G29" i="2"/>
  <c r="G30" i="2"/>
  <c r="G31" i="2"/>
  <c r="H27" i="2"/>
  <c r="H28" i="2"/>
  <c r="H29" i="2"/>
  <c r="H30" i="2"/>
  <c r="H31" i="2"/>
  <c r="D39" i="2"/>
  <c r="D40" i="2"/>
  <c r="S14" i="2"/>
  <c r="Q14" i="2"/>
  <c r="R14" i="2"/>
  <c r="R21" i="2"/>
  <c r="E6" i="3"/>
  <c r="G6" i="3"/>
  <c r="I5" i="3" s="1"/>
  <c r="E7" i="3"/>
  <c r="E5" i="3"/>
  <c r="G7" i="3"/>
  <c r="E8" i="3"/>
  <c r="E9" i="3"/>
  <c r="C40" i="3"/>
  <c r="E10" i="3"/>
  <c r="E16" i="3"/>
  <c r="E11" i="3"/>
  <c r="G12" i="3"/>
  <c r="E13" i="3"/>
  <c r="M16" i="3"/>
  <c r="G13" i="3"/>
  <c r="M17" i="3"/>
  <c r="E14" i="3"/>
  <c r="M14" i="3"/>
  <c r="E12" i="3"/>
  <c r="M15" i="3" s="1"/>
  <c r="N19" i="3" s="1"/>
  <c r="M18" i="3"/>
  <c r="E15" i="3"/>
  <c r="M19" i="3"/>
  <c r="E22" i="3"/>
  <c r="E17" i="3"/>
  <c r="G18" i="3"/>
  <c r="I17" i="3" s="1"/>
  <c r="S3" i="3" s="1"/>
  <c r="E19" i="3"/>
  <c r="M22" i="3"/>
  <c r="G19" i="3"/>
  <c r="M23" i="3"/>
  <c r="E20" i="3"/>
  <c r="M20" i="3"/>
  <c r="E18" i="3"/>
  <c r="I69" i="3"/>
  <c r="I71" i="1" s="1"/>
  <c r="M24" i="3"/>
  <c r="E21" i="3"/>
  <c r="M25" i="3"/>
  <c r="D27" i="3"/>
  <c r="D28" i="3"/>
  <c r="D29" i="3"/>
  <c r="D30" i="3"/>
  <c r="D31" i="3"/>
  <c r="E27" i="3"/>
  <c r="E28" i="3"/>
  <c r="E29" i="3"/>
  <c r="E30" i="3"/>
  <c r="E31" i="3"/>
  <c r="F27" i="3"/>
  <c r="F28" i="3"/>
  <c r="F29" i="3"/>
  <c r="F30" i="3"/>
  <c r="F31" i="3"/>
  <c r="F32" i="3"/>
  <c r="G27" i="3"/>
  <c r="G28" i="3"/>
  <c r="G29" i="3"/>
  <c r="G30" i="3"/>
  <c r="G31" i="3"/>
  <c r="G32" i="3"/>
  <c r="H27" i="3"/>
  <c r="H28" i="3"/>
  <c r="H29" i="3"/>
  <c r="H30" i="3"/>
  <c r="H31" i="3"/>
  <c r="H32" i="3"/>
  <c r="D39" i="3"/>
  <c r="D40" i="3"/>
  <c r="S14" i="3"/>
  <c r="Q14" i="3"/>
  <c r="R14" i="3"/>
  <c r="R21" i="3"/>
  <c r="I5" i="1"/>
  <c r="C41" i="1" s="1"/>
  <c r="C39" i="1"/>
  <c r="C40" i="1"/>
  <c r="I10" i="1"/>
  <c r="M16" i="1"/>
  <c r="M18" i="1"/>
  <c r="M14" i="1"/>
  <c r="M15" i="1"/>
  <c r="N19" i="1" s="1"/>
  <c r="M17" i="1"/>
  <c r="M19" i="1"/>
  <c r="I11" i="1"/>
  <c r="Q3" i="1" s="1"/>
  <c r="G69" i="1" s="1"/>
  <c r="M20" i="1"/>
  <c r="M21" i="1"/>
  <c r="R3" i="1" s="1"/>
  <c r="H69" i="1" s="1"/>
  <c r="N25" i="1"/>
  <c r="T11" i="1" s="1"/>
  <c r="M22" i="1"/>
  <c r="M23" i="1"/>
  <c r="M24" i="1"/>
  <c r="M25" i="1"/>
  <c r="I17" i="1"/>
  <c r="D27" i="1"/>
  <c r="D28" i="1"/>
  <c r="E27" i="1"/>
  <c r="E28" i="1"/>
  <c r="E30" i="1"/>
  <c r="E31" i="1"/>
  <c r="E32" i="1"/>
  <c r="F27" i="1"/>
  <c r="F28" i="1"/>
  <c r="G27" i="1"/>
  <c r="G28" i="1"/>
  <c r="H27" i="1"/>
  <c r="H28" i="1"/>
  <c r="H30" i="1"/>
  <c r="H31" i="1"/>
  <c r="H32" i="1"/>
  <c r="D39" i="1"/>
  <c r="D40" i="1"/>
  <c r="S14" i="1"/>
  <c r="Q14" i="1"/>
  <c r="R14" i="1"/>
  <c r="R21" i="1"/>
  <c r="B69" i="3"/>
  <c r="B71" i="1" s="1"/>
  <c r="N3" i="3"/>
  <c r="C69" i="3"/>
  <c r="C71" i="1"/>
  <c r="O71" i="1"/>
  <c r="P71" i="1"/>
  <c r="M10" i="3"/>
  <c r="M3" i="3" s="1"/>
  <c r="A69" i="3" s="1"/>
  <c r="A71" i="1" s="1"/>
  <c r="M11" i="3"/>
  <c r="M8" i="3"/>
  <c r="M12" i="3"/>
  <c r="M13" i="3"/>
  <c r="N77" i="3"/>
  <c r="J77" i="3"/>
  <c r="I77" i="3"/>
  <c r="H77" i="3"/>
  <c r="G77" i="3"/>
  <c r="F77" i="3"/>
  <c r="E77" i="3"/>
  <c r="D77" i="3"/>
  <c r="C77" i="3"/>
  <c r="B77" i="3"/>
  <c r="A77" i="3"/>
  <c r="E32" i="3"/>
  <c r="D32" i="3"/>
  <c r="U14" i="3"/>
  <c r="T14" i="3"/>
  <c r="O70" i="1"/>
  <c r="P70" i="1"/>
  <c r="N3" i="2"/>
  <c r="C69" i="2"/>
  <c r="C70" i="1"/>
  <c r="I69" i="2"/>
  <c r="I70" i="1" s="1"/>
  <c r="M12" i="2"/>
  <c r="M10" i="2"/>
  <c r="M3" i="2" s="1"/>
  <c r="A69" i="2" s="1"/>
  <c r="A70" i="1" s="1"/>
  <c r="M11" i="2"/>
  <c r="A77" i="2"/>
  <c r="M13" i="2"/>
  <c r="N77" i="2"/>
  <c r="J77" i="2"/>
  <c r="I77" i="2"/>
  <c r="H77" i="2"/>
  <c r="G77" i="2"/>
  <c r="F77" i="2"/>
  <c r="E77" i="2"/>
  <c r="D77" i="2"/>
  <c r="C77" i="2"/>
  <c r="T14" i="2"/>
  <c r="H32" i="2"/>
  <c r="G32" i="2"/>
  <c r="F32" i="2"/>
  <c r="U14" i="2"/>
  <c r="M11" i="1"/>
  <c r="M8" i="1"/>
  <c r="M10" i="1"/>
  <c r="M3" i="1" s="1"/>
  <c r="A69" i="1" s="1"/>
  <c r="M12" i="1"/>
  <c r="M13" i="1"/>
  <c r="N3" i="1"/>
  <c r="C69" i="1"/>
  <c r="F69" i="1"/>
  <c r="I69" i="1"/>
  <c r="T14" i="1"/>
  <c r="U14" i="1"/>
  <c r="G30" i="1"/>
  <c r="G31" i="1"/>
  <c r="G32" i="1"/>
  <c r="F30" i="1"/>
  <c r="F31" i="1"/>
  <c r="F32" i="1"/>
  <c r="M14" i="2"/>
  <c r="B77" i="2"/>
  <c r="M20" i="2"/>
  <c r="F69" i="3"/>
  <c r="F71" i="1" s="1"/>
  <c r="D29" i="1"/>
  <c r="D30" i="1"/>
  <c r="D31" i="1"/>
  <c r="D32" i="1"/>
  <c r="C43" i="1"/>
  <c r="M21" i="3"/>
  <c r="N25" i="3" s="1"/>
  <c r="J69" i="3"/>
  <c r="J71" i="1" s="1"/>
  <c r="Q179" i="6" l="1"/>
  <c r="J179" i="6"/>
  <c r="I43" i="6"/>
  <c r="C11" i="5" s="1"/>
  <c r="C55" i="6" s="1"/>
  <c r="D179" i="6"/>
  <c r="D184" i="6" s="1"/>
  <c r="D55" i="8"/>
  <c r="D58" i="8" s="1"/>
  <c r="D59" i="8" s="1"/>
  <c r="D97" i="8"/>
  <c r="D98" i="8" s="1"/>
  <c r="E97" i="8"/>
  <c r="E98" i="8" s="1"/>
  <c r="F97" i="8"/>
  <c r="F98" i="8" s="1"/>
  <c r="G88" i="6"/>
  <c r="M86" i="6"/>
  <c r="F88" i="6"/>
  <c r="L86" i="6"/>
  <c r="E88" i="6"/>
  <c r="K86" i="6"/>
  <c r="H88" i="6"/>
  <c r="N86" i="6"/>
  <c r="D88" i="8"/>
  <c r="D39" i="8"/>
  <c r="J86" i="6"/>
  <c r="D88" i="6"/>
  <c r="E50" i="6"/>
  <c r="E51" i="6" s="1"/>
  <c r="E151" i="6"/>
  <c r="G50" i="6"/>
  <c r="G51" i="6" s="1"/>
  <c r="G151" i="6"/>
  <c r="D50" i="6"/>
  <c r="D51" i="6" s="1"/>
  <c r="D151" i="6"/>
  <c r="H50" i="6"/>
  <c r="H51" i="6" s="1"/>
  <c r="H151" i="6"/>
  <c r="F50" i="6"/>
  <c r="F51" i="6" s="1"/>
  <c r="F151" i="6"/>
  <c r="K29" i="6"/>
  <c r="K28" i="6"/>
  <c r="O3" i="1"/>
  <c r="D69" i="1" s="1"/>
  <c r="D41" i="1"/>
  <c r="D44" i="1"/>
  <c r="D50" i="1" s="1"/>
  <c r="C44" i="1"/>
  <c r="I10" i="2"/>
  <c r="I11" i="2"/>
  <c r="Q3" i="2" s="1"/>
  <c r="G69" i="2" s="1"/>
  <c r="G70" i="1" s="1"/>
  <c r="C41" i="3"/>
  <c r="O3" i="3"/>
  <c r="D69" i="3" s="1"/>
  <c r="D71" i="1" s="1"/>
  <c r="D41" i="3"/>
  <c r="O3" i="2"/>
  <c r="D69" i="2" s="1"/>
  <c r="D70" i="1" s="1"/>
  <c r="D41" i="2"/>
  <c r="C41" i="2"/>
  <c r="I10" i="3"/>
  <c r="H50" i="1"/>
  <c r="F69" i="2"/>
  <c r="F70" i="1" s="1"/>
  <c r="I11" i="3"/>
  <c r="Q3" i="3" s="1"/>
  <c r="G69" i="3" s="1"/>
  <c r="G71" i="1" s="1"/>
  <c r="P3" i="1"/>
  <c r="E69" i="1" s="1"/>
  <c r="V10" i="3"/>
  <c r="T10" i="3"/>
  <c r="U10" i="3"/>
  <c r="T10" i="1"/>
  <c r="U10" i="1"/>
  <c r="V10" i="1"/>
  <c r="I16" i="1" s="1"/>
  <c r="C42" i="1"/>
  <c r="P3" i="3"/>
  <c r="E69" i="3" s="1"/>
  <c r="E71" i="1" s="1"/>
  <c r="D42" i="1"/>
  <c r="M15" i="2"/>
  <c r="U11" i="3"/>
  <c r="L77" i="3" s="1"/>
  <c r="V11" i="3"/>
  <c r="T11" i="3"/>
  <c r="K77" i="3" s="1"/>
  <c r="D43" i="2"/>
  <c r="S3" i="2"/>
  <c r="J69" i="2" s="1"/>
  <c r="J70" i="1" s="1"/>
  <c r="C43" i="2"/>
  <c r="U11" i="1"/>
  <c r="M21" i="2"/>
  <c r="R3" i="3"/>
  <c r="H69" i="3" s="1"/>
  <c r="H71" i="1" s="1"/>
  <c r="V11" i="1"/>
  <c r="S3" i="1"/>
  <c r="J69" i="1" s="1"/>
  <c r="D43" i="1"/>
  <c r="D43" i="3"/>
  <c r="C43" i="3"/>
  <c r="C64" i="6" l="1"/>
  <c r="C161" i="6" s="1"/>
  <c r="P64" i="6"/>
  <c r="P65" i="6" s="1"/>
  <c r="P67" i="6" s="1"/>
  <c r="P70" i="6" s="1"/>
  <c r="J64" i="6"/>
  <c r="J65" i="6" s="1"/>
  <c r="J67" i="6" s="1"/>
  <c r="J70" i="6" s="1"/>
  <c r="D64" i="6"/>
  <c r="D65" i="6" s="1"/>
  <c r="K88" i="6"/>
  <c r="Q86" i="6"/>
  <c r="Q88" i="6" s="1"/>
  <c r="M88" i="6"/>
  <c r="S86" i="6"/>
  <c r="S88" i="6" s="1"/>
  <c r="N88" i="6"/>
  <c r="T86" i="6"/>
  <c r="T88" i="6" s="1"/>
  <c r="L88" i="6"/>
  <c r="R86" i="6"/>
  <c r="R88" i="6" s="1"/>
  <c r="C42" i="2"/>
  <c r="D60" i="8"/>
  <c r="P86" i="6"/>
  <c r="P88" i="6" s="1"/>
  <c r="J88" i="6"/>
  <c r="F152" i="6"/>
  <c r="F153" i="6"/>
  <c r="F154" i="6" s="1"/>
  <c r="F157" i="6" s="1"/>
  <c r="E152" i="6"/>
  <c r="E153" i="6"/>
  <c r="E154" i="6" s="1"/>
  <c r="E157" i="6" s="1"/>
  <c r="H152" i="6"/>
  <c r="H184" i="6" s="1"/>
  <c r="H153" i="6"/>
  <c r="H154" i="6" s="1"/>
  <c r="H157" i="6" s="1"/>
  <c r="G152" i="6"/>
  <c r="G153" i="6"/>
  <c r="G154" i="6" s="1"/>
  <c r="G157" i="6" s="1"/>
  <c r="D152" i="6"/>
  <c r="D153" i="6"/>
  <c r="D154" i="6" s="1"/>
  <c r="D157" i="6" s="1"/>
  <c r="C44" i="2"/>
  <c r="D44" i="2"/>
  <c r="F50" i="1"/>
  <c r="E50" i="1"/>
  <c r="M34" i="1" s="1"/>
  <c r="G50" i="1"/>
  <c r="H50" i="2"/>
  <c r="D42" i="2"/>
  <c r="D44" i="3"/>
  <c r="I16" i="3"/>
  <c r="I22" i="3" s="1"/>
  <c r="C46" i="3" s="1"/>
  <c r="D50" i="2"/>
  <c r="G50" i="2"/>
  <c r="C44" i="3"/>
  <c r="C42" i="3"/>
  <c r="D42" i="3"/>
  <c r="C45" i="1"/>
  <c r="P3" i="2"/>
  <c r="E69" i="2" s="1"/>
  <c r="E70" i="1" s="1"/>
  <c r="N19" i="2"/>
  <c r="D45" i="1"/>
  <c r="I22" i="1"/>
  <c r="E51" i="1" s="1"/>
  <c r="M77" i="3"/>
  <c r="R3" i="2"/>
  <c r="H69" i="2" s="1"/>
  <c r="H70" i="1" s="1"/>
  <c r="N25" i="2"/>
  <c r="K64" i="6" l="1"/>
  <c r="K65" i="6" s="1"/>
  <c r="K68" i="6" s="1"/>
  <c r="J68" i="6"/>
  <c r="J71" i="6" s="1"/>
  <c r="J66" i="6"/>
  <c r="J69" i="6" s="1"/>
  <c r="C65" i="6"/>
  <c r="C68" i="6" s="1"/>
  <c r="Q64" i="6"/>
  <c r="Q65" i="6" s="1"/>
  <c r="Q68" i="6" s="1"/>
  <c r="P68" i="6"/>
  <c r="P71" i="6" s="1"/>
  <c r="P66" i="6"/>
  <c r="P69" i="6" s="1"/>
  <c r="D156" i="6"/>
  <c r="D199" i="6" s="1"/>
  <c r="H156" i="6"/>
  <c r="O199" i="6" s="1"/>
  <c r="F156" i="6"/>
  <c r="T199" i="6" s="1"/>
  <c r="G156" i="6"/>
  <c r="U199" i="6" s="1"/>
  <c r="E156" i="6"/>
  <c r="S199" i="6" s="1"/>
  <c r="F184" i="6"/>
  <c r="G184" i="6"/>
  <c r="E184" i="6"/>
  <c r="C45" i="3"/>
  <c r="D117" i="6"/>
  <c r="D141" i="6"/>
  <c r="D143" i="6" s="1"/>
  <c r="D129" i="6"/>
  <c r="D131" i="6" s="1"/>
  <c r="D68" i="6"/>
  <c r="D66" i="6"/>
  <c r="D67" i="6"/>
  <c r="E50" i="2"/>
  <c r="M34" i="2" s="1"/>
  <c r="F50" i="2"/>
  <c r="D45" i="3"/>
  <c r="E52" i="3" s="1"/>
  <c r="F50" i="3"/>
  <c r="E50" i="3"/>
  <c r="M34" i="3" s="1"/>
  <c r="G50" i="3"/>
  <c r="H50" i="3"/>
  <c r="D50" i="3"/>
  <c r="D53" i="1"/>
  <c r="C47" i="3"/>
  <c r="G60" i="3" s="1"/>
  <c r="G51" i="1"/>
  <c r="G53" i="1"/>
  <c r="D46" i="3"/>
  <c r="H53" i="1"/>
  <c r="C46" i="1"/>
  <c r="C47" i="1" s="1"/>
  <c r="F60" i="1" s="1"/>
  <c r="F51" i="1"/>
  <c r="E53" i="1"/>
  <c r="E52" i="1"/>
  <c r="H52" i="1"/>
  <c r="F52" i="1"/>
  <c r="D52" i="1"/>
  <c r="G52" i="1"/>
  <c r="F53" i="1"/>
  <c r="U10" i="2"/>
  <c r="V10" i="2"/>
  <c r="I16" i="2" s="1"/>
  <c r="T10" i="2"/>
  <c r="H51" i="1"/>
  <c r="D46" i="1"/>
  <c r="D51" i="1"/>
  <c r="E60" i="3"/>
  <c r="O28" i="3" s="1"/>
  <c r="H51" i="3"/>
  <c r="D51" i="3"/>
  <c r="E51" i="3"/>
  <c r="G51" i="3"/>
  <c r="F51" i="3"/>
  <c r="T11" i="2"/>
  <c r="K77" i="2" s="1"/>
  <c r="V11" i="2"/>
  <c r="U11" i="2"/>
  <c r="L77" i="2" s="1"/>
  <c r="K199" i="6" l="1"/>
  <c r="R199" i="6"/>
  <c r="K66" i="6"/>
  <c r="J77" i="6" s="1"/>
  <c r="J72" i="6"/>
  <c r="M84" i="6" s="1"/>
  <c r="Q66" i="6"/>
  <c r="T77" i="6" s="1"/>
  <c r="K67" i="6"/>
  <c r="J79" i="6" s="1"/>
  <c r="P72" i="6"/>
  <c r="Q84" i="6" s="1"/>
  <c r="C162" i="6"/>
  <c r="C66" i="6"/>
  <c r="Q67" i="6"/>
  <c r="S79" i="6" s="1"/>
  <c r="C67" i="6"/>
  <c r="C70" i="6" s="1"/>
  <c r="C167" i="6" s="1"/>
  <c r="F199" i="6"/>
  <c r="L199" i="6"/>
  <c r="G199" i="6"/>
  <c r="E199" i="6"/>
  <c r="V199" i="6"/>
  <c r="M199" i="6"/>
  <c r="H199" i="6"/>
  <c r="N199" i="6"/>
  <c r="C71" i="6"/>
  <c r="C168" i="6" s="1"/>
  <c r="C165" i="6"/>
  <c r="N81" i="6"/>
  <c r="J81" i="6"/>
  <c r="L81" i="6"/>
  <c r="K81" i="6"/>
  <c r="M81" i="6"/>
  <c r="S81" i="6"/>
  <c r="Q81" i="6"/>
  <c r="P81" i="6"/>
  <c r="T81" i="6"/>
  <c r="R81" i="6"/>
  <c r="D81" i="6"/>
  <c r="H81" i="6"/>
  <c r="G81" i="6"/>
  <c r="E81" i="6"/>
  <c r="F81" i="6"/>
  <c r="H77" i="6"/>
  <c r="G77" i="6"/>
  <c r="E77" i="6"/>
  <c r="D77" i="6"/>
  <c r="F77" i="6"/>
  <c r="E79" i="6"/>
  <c r="D79" i="6"/>
  <c r="F79" i="6"/>
  <c r="G79" i="6"/>
  <c r="H79" i="6"/>
  <c r="K71" i="6"/>
  <c r="Q71" i="6"/>
  <c r="D71" i="6"/>
  <c r="D69" i="6"/>
  <c r="D70" i="6"/>
  <c r="D119" i="6"/>
  <c r="G125" i="6" s="1"/>
  <c r="F52" i="3"/>
  <c r="E53" i="3"/>
  <c r="D53" i="3"/>
  <c r="D52" i="3"/>
  <c r="G52" i="3"/>
  <c r="G53" i="3"/>
  <c r="H52" i="3"/>
  <c r="D47" i="3"/>
  <c r="D48" i="3" s="1"/>
  <c r="H53" i="3"/>
  <c r="F53" i="3"/>
  <c r="F57" i="3"/>
  <c r="D54" i="3"/>
  <c r="Q28" i="3"/>
  <c r="R29" i="3"/>
  <c r="H60" i="3"/>
  <c r="R28" i="3" s="1"/>
  <c r="F60" i="3"/>
  <c r="D60" i="3"/>
  <c r="C48" i="3"/>
  <c r="T3" i="3" s="1"/>
  <c r="K69" i="3" s="1"/>
  <c r="K71" i="1" s="1"/>
  <c r="D60" i="1"/>
  <c r="O29" i="1" s="1"/>
  <c r="H60" i="1"/>
  <c r="R28" i="1" s="1"/>
  <c r="P29" i="3"/>
  <c r="E60" i="1"/>
  <c r="P29" i="1" s="1"/>
  <c r="H57" i="3"/>
  <c r="G60" i="1"/>
  <c r="R29" i="1" s="1"/>
  <c r="H54" i="3"/>
  <c r="D57" i="3"/>
  <c r="F54" i="3"/>
  <c r="G57" i="3"/>
  <c r="E54" i="3"/>
  <c r="G54" i="3"/>
  <c r="E57" i="3"/>
  <c r="C48" i="1"/>
  <c r="T3" i="1" s="1"/>
  <c r="K69" i="1" s="1"/>
  <c r="H57" i="1"/>
  <c r="H54" i="1"/>
  <c r="H55" i="1" s="1"/>
  <c r="H56" i="1" s="1"/>
  <c r="E54" i="1"/>
  <c r="E55" i="1" s="1"/>
  <c r="E56" i="1" s="1"/>
  <c r="F57" i="1"/>
  <c r="D54" i="1"/>
  <c r="D55" i="1" s="1"/>
  <c r="D56" i="1" s="1"/>
  <c r="D61" i="1" s="1"/>
  <c r="D47" i="1"/>
  <c r="D48" i="1" s="1"/>
  <c r="D57" i="1"/>
  <c r="G54" i="1"/>
  <c r="G55" i="1" s="1"/>
  <c r="G56" i="1" s="1"/>
  <c r="G57" i="1"/>
  <c r="F54" i="1"/>
  <c r="F55" i="1" s="1"/>
  <c r="F56" i="1" s="1"/>
  <c r="E57" i="1"/>
  <c r="C45" i="2"/>
  <c r="D45" i="2"/>
  <c r="I22" i="2"/>
  <c r="M77" i="2"/>
  <c r="P28" i="1"/>
  <c r="Q29" i="1"/>
  <c r="C69" i="6" l="1"/>
  <c r="C166" i="6" s="1"/>
  <c r="D23" i="8"/>
  <c r="E81" i="8" s="1"/>
  <c r="P77" i="6"/>
  <c r="K77" i="6"/>
  <c r="M77" i="6"/>
  <c r="R77" i="6"/>
  <c r="L77" i="6"/>
  <c r="Q69" i="6"/>
  <c r="K69" i="6"/>
  <c r="S77" i="6"/>
  <c r="N77" i="6"/>
  <c r="R84" i="6"/>
  <c r="Q77" i="6"/>
  <c r="L79" i="6"/>
  <c r="C163" i="6"/>
  <c r="N79" i="6"/>
  <c r="L84" i="6"/>
  <c r="J84" i="6"/>
  <c r="P84" i="6"/>
  <c r="K84" i="6"/>
  <c r="K70" i="6"/>
  <c r="K72" i="6" s="1"/>
  <c r="K73" i="6" s="1"/>
  <c r="D37" i="9" s="1"/>
  <c r="D40" i="9" s="1"/>
  <c r="M79" i="6"/>
  <c r="K79" i="6"/>
  <c r="N84" i="6"/>
  <c r="J73" i="6"/>
  <c r="Q70" i="6"/>
  <c r="P73" i="6"/>
  <c r="Q79" i="6"/>
  <c r="T79" i="6"/>
  <c r="S84" i="6"/>
  <c r="R79" i="6"/>
  <c r="T84" i="6"/>
  <c r="C164" i="6"/>
  <c r="P79" i="6"/>
  <c r="J82" i="6"/>
  <c r="J83" i="6" s="1"/>
  <c r="D55" i="3"/>
  <c r="D56" i="3" s="1"/>
  <c r="D64" i="3" s="1"/>
  <c r="D72" i="6"/>
  <c r="D73" i="6" s="1"/>
  <c r="C37" i="9" s="1"/>
  <c r="D82" i="6"/>
  <c r="D83" i="6" s="1"/>
  <c r="M198" i="6"/>
  <c r="M201" i="6" s="1"/>
  <c r="N198" i="6"/>
  <c r="N201" i="6" s="1"/>
  <c r="O198" i="6"/>
  <c r="O201" i="6" s="1"/>
  <c r="L198" i="6"/>
  <c r="L201" i="6" s="1"/>
  <c r="K198" i="6"/>
  <c r="K201" i="6" s="1"/>
  <c r="S198" i="6"/>
  <c r="S201" i="6" s="1"/>
  <c r="R198" i="6"/>
  <c r="R201" i="6" s="1"/>
  <c r="T198" i="6"/>
  <c r="T201" i="6" s="1"/>
  <c r="U198" i="6"/>
  <c r="U201" i="6" s="1"/>
  <c r="V198" i="6"/>
  <c r="V201" i="6" s="1"/>
  <c r="Q28" i="1"/>
  <c r="Q30" i="1" s="1"/>
  <c r="H55" i="3"/>
  <c r="H56" i="3" s="1"/>
  <c r="U15" i="3" s="1"/>
  <c r="O28" i="1"/>
  <c r="O30" i="1" s="1"/>
  <c r="F55" i="3"/>
  <c r="F56" i="3" s="1"/>
  <c r="F64" i="3" s="1"/>
  <c r="E55" i="3"/>
  <c r="E56" i="3" s="1"/>
  <c r="E65" i="3" s="1"/>
  <c r="G55" i="3"/>
  <c r="G56" i="3" s="1"/>
  <c r="G64" i="3" s="1"/>
  <c r="R30" i="3"/>
  <c r="Q29" i="3"/>
  <c r="Q30" i="3" s="1"/>
  <c r="P28" i="3"/>
  <c r="P30" i="3" s="1"/>
  <c r="D62" i="3"/>
  <c r="M28" i="1"/>
  <c r="M30" i="1" s="1"/>
  <c r="D61" i="3"/>
  <c r="D65" i="3"/>
  <c r="O29" i="3"/>
  <c r="O30" i="3" s="1"/>
  <c r="M28" i="3"/>
  <c r="M30" i="3" s="1"/>
  <c r="P30" i="1"/>
  <c r="R30" i="1"/>
  <c r="T15" i="1"/>
  <c r="G63" i="1"/>
  <c r="G61" i="1"/>
  <c r="G64" i="1"/>
  <c r="G65" i="1"/>
  <c r="G62" i="1"/>
  <c r="E52" i="2"/>
  <c r="D52" i="2"/>
  <c r="G52" i="2"/>
  <c r="H52" i="2"/>
  <c r="F52" i="2"/>
  <c r="Q15" i="1"/>
  <c r="D65" i="1"/>
  <c r="D63" i="1"/>
  <c r="D62" i="1"/>
  <c r="D64" i="1"/>
  <c r="E63" i="1"/>
  <c r="E62" i="1"/>
  <c r="E61" i="1"/>
  <c r="E64" i="1"/>
  <c r="R15" i="1"/>
  <c r="E65" i="1"/>
  <c r="F62" i="1"/>
  <c r="F61" i="1"/>
  <c r="F63" i="1"/>
  <c r="F64" i="1"/>
  <c r="F65" i="1"/>
  <c r="S15" i="1"/>
  <c r="U15" i="1"/>
  <c r="H62" i="1"/>
  <c r="H61" i="1"/>
  <c r="H63" i="1"/>
  <c r="H64" i="1"/>
  <c r="H65" i="1"/>
  <c r="D51" i="2"/>
  <c r="H51" i="2"/>
  <c r="F51" i="2"/>
  <c r="E51" i="2"/>
  <c r="D53" i="2"/>
  <c r="F53" i="2"/>
  <c r="E53" i="2"/>
  <c r="G51" i="2"/>
  <c r="G53" i="2"/>
  <c r="H53" i="2"/>
  <c r="C46" i="2"/>
  <c r="C47" i="2" s="1"/>
  <c r="D46" i="2"/>
  <c r="C72" i="6" l="1"/>
  <c r="C73" i="6" s="1"/>
  <c r="F81" i="8"/>
  <c r="F102" i="8" s="1"/>
  <c r="F105" i="8" s="1"/>
  <c r="E80" i="8"/>
  <c r="E101" i="8" s="1"/>
  <c r="E104" i="8" s="1"/>
  <c r="D80" i="8"/>
  <c r="D101" i="8" s="1"/>
  <c r="D104" i="8" s="1"/>
  <c r="F80" i="8"/>
  <c r="F101" i="8" s="1"/>
  <c r="F104" i="8" s="1"/>
  <c r="D81" i="8"/>
  <c r="D102" i="8" s="1"/>
  <c r="D105" i="8" s="1"/>
  <c r="P82" i="6"/>
  <c r="P83" i="6" s="1"/>
  <c r="P94" i="6" s="1"/>
  <c r="K82" i="6"/>
  <c r="K83" i="6" s="1"/>
  <c r="K93" i="6" s="1"/>
  <c r="M82" i="6"/>
  <c r="M83" i="6" s="1"/>
  <c r="M93" i="6" s="1"/>
  <c r="Q72" i="6"/>
  <c r="Q73" i="6" s="1"/>
  <c r="E37" i="9" s="1"/>
  <c r="E40" i="9" s="1"/>
  <c r="L82" i="6"/>
  <c r="L83" i="6" s="1"/>
  <c r="L91" i="6" s="1"/>
  <c r="N82" i="6"/>
  <c r="N83" i="6" s="1"/>
  <c r="N91" i="6" s="1"/>
  <c r="D93" i="6"/>
  <c r="D94" i="6"/>
  <c r="J94" i="6"/>
  <c r="J93" i="6"/>
  <c r="D28" i="8"/>
  <c r="E31" i="8" s="1"/>
  <c r="F82" i="6"/>
  <c r="F83" i="6" s="1"/>
  <c r="D90" i="6"/>
  <c r="D92" i="6"/>
  <c r="D91" i="6"/>
  <c r="J89" i="6"/>
  <c r="J90" i="6"/>
  <c r="J92" i="6"/>
  <c r="J91" i="6"/>
  <c r="E82" i="6"/>
  <c r="E83" i="6" s="1"/>
  <c r="G82" i="6"/>
  <c r="G83" i="6" s="1"/>
  <c r="H82" i="6"/>
  <c r="H83" i="6" s="1"/>
  <c r="T82" i="6"/>
  <c r="T83" i="6" s="1"/>
  <c r="Q82" i="6"/>
  <c r="Q83" i="6" s="1"/>
  <c r="R82" i="6"/>
  <c r="R83" i="6" s="1"/>
  <c r="S82" i="6"/>
  <c r="S83" i="6" s="1"/>
  <c r="H65" i="3"/>
  <c r="D63" i="3"/>
  <c r="Q15" i="3"/>
  <c r="E102" i="8"/>
  <c r="E105" i="8" s="1"/>
  <c r="D89" i="6"/>
  <c r="H61" i="3"/>
  <c r="H64" i="3"/>
  <c r="H62" i="3"/>
  <c r="H63" i="3"/>
  <c r="F63" i="3"/>
  <c r="E63" i="3"/>
  <c r="E61" i="3"/>
  <c r="E62" i="3"/>
  <c r="E64" i="3"/>
  <c r="G65" i="3"/>
  <c r="R15" i="3"/>
  <c r="G62" i="3"/>
  <c r="T15" i="3"/>
  <c r="F62" i="3"/>
  <c r="S15" i="3"/>
  <c r="F65" i="3"/>
  <c r="G61" i="3"/>
  <c r="G63" i="3"/>
  <c r="F61" i="3"/>
  <c r="S30" i="3"/>
  <c r="U3" i="3" s="1"/>
  <c r="S30" i="1"/>
  <c r="U3" i="1" s="1"/>
  <c r="L69" i="1" s="1"/>
  <c r="J5" i="1" s="1"/>
  <c r="E54" i="2"/>
  <c r="E55" i="2" s="1"/>
  <c r="E56" i="2" s="1"/>
  <c r="E57" i="2"/>
  <c r="H57" i="2"/>
  <c r="D47" i="2"/>
  <c r="D48" i="2" s="1"/>
  <c r="G54" i="2"/>
  <c r="G55" i="2" s="1"/>
  <c r="G56" i="2" s="1"/>
  <c r="G57" i="2"/>
  <c r="D54" i="2"/>
  <c r="D55" i="2" s="1"/>
  <c r="D56" i="2" s="1"/>
  <c r="F57" i="2"/>
  <c r="D57" i="2"/>
  <c r="F54" i="2"/>
  <c r="F55" i="2" s="1"/>
  <c r="F56" i="2" s="1"/>
  <c r="H54" i="2"/>
  <c r="H55" i="2" s="1"/>
  <c r="H56" i="2" s="1"/>
  <c r="G60" i="2"/>
  <c r="E60" i="2"/>
  <c r="D60" i="2"/>
  <c r="F60" i="2"/>
  <c r="H60" i="2"/>
  <c r="R28" i="2" s="1"/>
  <c r="C48" i="2"/>
  <c r="T3" i="2" s="1"/>
  <c r="K69" i="2" s="1"/>
  <c r="K70" i="1" s="1"/>
  <c r="C169" i="6" l="1"/>
  <c r="G174" i="6" s="1"/>
  <c r="P90" i="6"/>
  <c r="L92" i="6"/>
  <c r="P93" i="6"/>
  <c r="P92" i="6"/>
  <c r="P89" i="6"/>
  <c r="P91" i="6"/>
  <c r="K89" i="6"/>
  <c r="K94" i="6"/>
  <c r="K92" i="6"/>
  <c r="M90" i="6"/>
  <c r="K91" i="6"/>
  <c r="L93" i="6"/>
  <c r="M91" i="6"/>
  <c r="M89" i="6"/>
  <c r="M94" i="6"/>
  <c r="K90" i="6"/>
  <c r="M92" i="6"/>
  <c r="N92" i="6"/>
  <c r="N94" i="6"/>
  <c r="L89" i="6"/>
  <c r="L90" i="6"/>
  <c r="L94" i="6"/>
  <c r="N89" i="6"/>
  <c r="N90" i="6"/>
  <c r="N93" i="6"/>
  <c r="C170" i="6"/>
  <c r="J95" i="6"/>
  <c r="J87" i="6" s="1"/>
  <c r="D95" i="6"/>
  <c r="T93" i="6"/>
  <c r="T94" i="6"/>
  <c r="S93" i="6"/>
  <c r="S94" i="6"/>
  <c r="H93" i="6"/>
  <c r="H94" i="6"/>
  <c r="R94" i="6"/>
  <c r="R93" i="6"/>
  <c r="G94" i="6"/>
  <c r="G93" i="6"/>
  <c r="Q93" i="6"/>
  <c r="Q94" i="6"/>
  <c r="E93" i="6"/>
  <c r="E94" i="6"/>
  <c r="F93" i="6"/>
  <c r="F94" i="6"/>
  <c r="F90" i="6"/>
  <c r="G89" i="6"/>
  <c r="D32" i="8"/>
  <c r="D31" i="8"/>
  <c r="D51" i="8" s="1"/>
  <c r="F31" i="8"/>
  <c r="F63" i="8" s="1"/>
  <c r="F66" i="8" s="1"/>
  <c r="F32" i="8"/>
  <c r="F116" i="8" s="1"/>
  <c r="F148" i="8" s="1"/>
  <c r="F166" i="8" s="1"/>
  <c r="E32" i="8"/>
  <c r="E116" i="8" s="1"/>
  <c r="E148" i="8" s="1"/>
  <c r="E166" i="8" s="1"/>
  <c r="E115" i="8"/>
  <c r="E147" i="8" s="1"/>
  <c r="E165" i="8" s="1"/>
  <c r="E63" i="8"/>
  <c r="E66" i="8" s="1"/>
  <c r="F92" i="6"/>
  <c r="F91" i="6"/>
  <c r="R89" i="6"/>
  <c r="R90" i="6"/>
  <c r="R92" i="6"/>
  <c r="R91" i="6"/>
  <c r="G92" i="6"/>
  <c r="G90" i="6"/>
  <c r="G91" i="6"/>
  <c r="Q91" i="6"/>
  <c r="Q90" i="6"/>
  <c r="Q92" i="6"/>
  <c r="E90" i="6"/>
  <c r="E91" i="6"/>
  <c r="E92" i="6"/>
  <c r="T90" i="6"/>
  <c r="T91" i="6"/>
  <c r="T92" i="6"/>
  <c r="S90" i="6"/>
  <c r="S91" i="6"/>
  <c r="S92" i="6"/>
  <c r="H90" i="6"/>
  <c r="H92" i="6"/>
  <c r="H91" i="6"/>
  <c r="T89" i="6"/>
  <c r="S89" i="6"/>
  <c r="Q89" i="6"/>
  <c r="V3" i="1"/>
  <c r="Q18" i="1" s="1"/>
  <c r="R17" i="1" s="1"/>
  <c r="S17" i="1" s="1"/>
  <c r="H89" i="6"/>
  <c r="E89" i="6"/>
  <c r="F89" i="6"/>
  <c r="V3" i="3"/>
  <c r="Q20" i="3" s="1"/>
  <c r="R19" i="3" s="1"/>
  <c r="L69" i="3"/>
  <c r="L71" i="1" s="1"/>
  <c r="J7" i="1" s="1"/>
  <c r="P28" i="2"/>
  <c r="Q29" i="2"/>
  <c r="O28" i="2"/>
  <c r="P29" i="2"/>
  <c r="M69" i="1"/>
  <c r="K5" i="1" s="1"/>
  <c r="Q19" i="1"/>
  <c r="R18" i="1" s="1"/>
  <c r="Q21" i="1"/>
  <c r="Q20" i="1"/>
  <c r="R19" i="1" s="1"/>
  <c r="R29" i="2"/>
  <c r="R30" i="2" s="1"/>
  <c r="Q28" i="2"/>
  <c r="D64" i="2"/>
  <c r="D62" i="2"/>
  <c r="D61" i="2"/>
  <c r="D65" i="2"/>
  <c r="Q15" i="2"/>
  <c r="D63" i="2"/>
  <c r="S15" i="2"/>
  <c r="F62" i="2"/>
  <c r="F61" i="2"/>
  <c r="F65" i="2"/>
  <c r="F64" i="2"/>
  <c r="F63" i="2"/>
  <c r="H62" i="2"/>
  <c r="H63" i="2"/>
  <c r="U15" i="2"/>
  <c r="H64" i="2"/>
  <c r="H65" i="2"/>
  <c r="H61" i="2"/>
  <c r="M28" i="2"/>
  <c r="M30" i="2" s="1"/>
  <c r="O29" i="2"/>
  <c r="T15" i="2"/>
  <c r="G62" i="2"/>
  <c r="G61" i="2"/>
  <c r="G63" i="2"/>
  <c r="G64" i="2"/>
  <c r="G65" i="2"/>
  <c r="E61" i="2"/>
  <c r="E64" i="2"/>
  <c r="E65" i="2"/>
  <c r="R15" i="2"/>
  <c r="E62" i="2"/>
  <c r="E63" i="2"/>
  <c r="H174" i="6" l="1"/>
  <c r="D174" i="6"/>
  <c r="E174" i="6"/>
  <c r="F174" i="6"/>
  <c r="M95" i="6"/>
  <c r="M87" i="6" s="1"/>
  <c r="P95" i="6"/>
  <c r="P87" i="6" s="1"/>
  <c r="K95" i="6"/>
  <c r="K87" i="6" s="1"/>
  <c r="L95" i="6"/>
  <c r="L87" i="6" s="1"/>
  <c r="N95" i="6"/>
  <c r="N87" i="6" s="1"/>
  <c r="C40" i="9"/>
  <c r="B40" i="9"/>
  <c r="R95" i="6"/>
  <c r="R87" i="6" s="1"/>
  <c r="G95" i="6"/>
  <c r="Q95" i="6"/>
  <c r="Q87" i="6" s="1"/>
  <c r="E95" i="6"/>
  <c r="H95" i="6"/>
  <c r="T95" i="6"/>
  <c r="T87" i="6" s="1"/>
  <c r="F95" i="6"/>
  <c r="S95" i="6"/>
  <c r="S87" i="6" s="1"/>
  <c r="E122" i="8"/>
  <c r="E125" i="8" s="1"/>
  <c r="E121" i="8"/>
  <c r="E124" i="8" s="1"/>
  <c r="F122" i="8"/>
  <c r="F125" i="8" s="1"/>
  <c r="F64" i="8"/>
  <c r="F67" i="8" s="1"/>
  <c r="D116" i="8"/>
  <c r="D148" i="8" s="1"/>
  <c r="D166" i="8" s="1"/>
  <c r="D52" i="8"/>
  <c r="D64" i="8"/>
  <c r="D67" i="8" s="1"/>
  <c r="E64" i="8"/>
  <c r="E67" i="8" s="1"/>
  <c r="D63" i="8"/>
  <c r="D66" i="8" s="1"/>
  <c r="D115" i="8"/>
  <c r="D147" i="8" s="1"/>
  <c r="E118" i="8"/>
  <c r="E150" i="8" s="1"/>
  <c r="E153" i="8" s="1"/>
  <c r="F115" i="8"/>
  <c r="F147" i="8" s="1"/>
  <c r="F165" i="8" s="1"/>
  <c r="E119" i="8"/>
  <c r="E151" i="8" s="1"/>
  <c r="E154" i="8" s="1"/>
  <c r="F119" i="8"/>
  <c r="Q19" i="3"/>
  <c r="R18" i="3" s="1"/>
  <c r="Q18" i="3"/>
  <c r="R17" i="3" s="1"/>
  <c r="S17" i="3" s="1"/>
  <c r="Q21" i="3"/>
  <c r="S21" i="3" s="1"/>
  <c r="M69" i="3"/>
  <c r="M71" i="1" s="1"/>
  <c r="K7" i="1" s="1"/>
  <c r="S18" i="1"/>
  <c r="Q30" i="2"/>
  <c r="R20" i="1"/>
  <c r="S20" i="1" s="1"/>
  <c r="S21" i="1"/>
  <c r="O30" i="2"/>
  <c r="S19" i="1"/>
  <c r="P30" i="2"/>
  <c r="J97" i="6" l="1"/>
  <c r="D4" i="6" s="1"/>
  <c r="D14" i="7" s="1"/>
  <c r="I14" i="7" s="1"/>
  <c r="D159" i="8"/>
  <c r="F159" i="8"/>
  <c r="F160" i="8"/>
  <c r="E160" i="8"/>
  <c r="D160" i="8"/>
  <c r="E159" i="8"/>
  <c r="D165" i="8"/>
  <c r="F128" i="8"/>
  <c r="F131" i="8" s="1"/>
  <c r="F134" i="8" s="1"/>
  <c r="F151" i="8"/>
  <c r="F154" i="8" s="1"/>
  <c r="E128" i="8"/>
  <c r="E131" i="8" s="1"/>
  <c r="E134" i="8" s="1"/>
  <c r="E127" i="8"/>
  <c r="E130" i="8" s="1"/>
  <c r="E133" i="8" s="1"/>
  <c r="F121" i="8"/>
  <c r="F124" i="8" s="1"/>
  <c r="D122" i="8"/>
  <c r="D125" i="8" s="1"/>
  <c r="D119" i="8"/>
  <c r="D151" i="8" s="1"/>
  <c r="D154" i="8" s="1"/>
  <c r="D121" i="8"/>
  <c r="D124" i="8" s="1"/>
  <c r="D118" i="8"/>
  <c r="D150" i="8" s="1"/>
  <c r="D153" i="8" s="1"/>
  <c r="F118" i="8"/>
  <c r="F150" i="8" s="1"/>
  <c r="F153" i="8" s="1"/>
  <c r="P97" i="6"/>
  <c r="D5" i="6" s="1"/>
  <c r="D15" i="7" s="1"/>
  <c r="I15" i="7" s="1"/>
  <c r="S18" i="3"/>
  <c r="S19" i="3"/>
  <c r="R20" i="3"/>
  <c r="S20" i="3" s="1"/>
  <c r="W3" i="1"/>
  <c r="N69" i="1" s="1"/>
  <c r="L5" i="1" s="1"/>
  <c r="S30" i="2"/>
  <c r="U3" i="2" s="1"/>
  <c r="L69" i="2" s="1"/>
  <c r="L70" i="1" s="1"/>
  <c r="J6" i="1" s="1"/>
  <c r="J98" i="6" l="1"/>
  <c r="J103" i="6" s="1"/>
  <c r="K102" i="6" s="1"/>
  <c r="F127" i="8"/>
  <c r="F130" i="8" s="1"/>
  <c r="F133" i="8" s="1"/>
  <c r="D127" i="8"/>
  <c r="D130" i="8" s="1"/>
  <c r="D133" i="8" s="1"/>
  <c r="F173" i="8"/>
  <c r="E173" i="8"/>
  <c r="D128" i="8"/>
  <c r="D131" i="8" s="1"/>
  <c r="D134" i="8" s="1"/>
  <c r="E172" i="8"/>
  <c r="P98" i="6"/>
  <c r="P102" i="6" s="1"/>
  <c r="Q101" i="6" s="1"/>
  <c r="W3" i="3"/>
  <c r="N69" i="3" s="1"/>
  <c r="N71" i="1" s="1"/>
  <c r="L7" i="1" s="1"/>
  <c r="V3" i="2"/>
  <c r="Q20" i="2" s="1"/>
  <c r="R19" i="2" s="1"/>
  <c r="J102" i="6" l="1"/>
  <c r="K101" i="6" s="1"/>
  <c r="J101" i="6"/>
  <c r="K100" i="6" s="1"/>
  <c r="L100" i="6" s="1"/>
  <c r="J104" i="6"/>
  <c r="L104" i="6" s="1"/>
  <c r="F4" i="6"/>
  <c r="F14" i="7" s="1"/>
  <c r="D173" i="8"/>
  <c r="D172" i="8"/>
  <c r="F172" i="8"/>
  <c r="F5" i="6"/>
  <c r="F15" i="7" s="1"/>
  <c r="P104" i="6"/>
  <c r="R104" i="6" s="1"/>
  <c r="P101" i="6"/>
  <c r="Q100" i="6" s="1"/>
  <c r="R100" i="6" s="1"/>
  <c r="P103" i="6"/>
  <c r="Q102" i="6" s="1"/>
  <c r="R102" i="6" s="1"/>
  <c r="Q18" i="2"/>
  <c r="R17" i="2" s="1"/>
  <c r="S17" i="2" s="1"/>
  <c r="Q19" i="2"/>
  <c r="R18" i="2" s="1"/>
  <c r="Q21" i="2"/>
  <c r="R20" i="2" s="1"/>
  <c r="S20" i="2" s="1"/>
  <c r="M69" i="2"/>
  <c r="M70" i="1" s="1"/>
  <c r="K6" i="1" s="1"/>
  <c r="L102" i="6" l="1"/>
  <c r="L101" i="6"/>
  <c r="K103" i="6"/>
  <c r="L103" i="6" s="1"/>
  <c r="Q103" i="6"/>
  <c r="R103" i="6" s="1"/>
  <c r="G181" i="6"/>
  <c r="R101" i="6"/>
  <c r="S18" i="2"/>
  <c r="S21" i="2"/>
  <c r="S19" i="2"/>
  <c r="D175" i="6" l="1"/>
  <c r="D176" i="6" s="1"/>
  <c r="D198" i="6" s="1"/>
  <c r="D201" i="6" s="1"/>
  <c r="D87" i="6" s="1"/>
  <c r="G175" i="6"/>
  <c r="G176" i="6" s="1"/>
  <c r="G198" i="6" s="1"/>
  <c r="G201" i="6" s="1"/>
  <c r="G87" i="6" s="1"/>
  <c r="F175" i="6"/>
  <c r="F176" i="6" s="1"/>
  <c r="F198" i="6" s="1"/>
  <c r="F201" i="6" s="1"/>
  <c r="F87" i="6" s="1"/>
  <c r="E175" i="6"/>
  <c r="E176" i="6" s="1"/>
  <c r="E198" i="6" s="1"/>
  <c r="E201" i="6" s="1"/>
  <c r="E87" i="6" s="1"/>
  <c r="H175" i="6"/>
  <c r="H176" i="6" s="1"/>
  <c r="H198" i="6" s="1"/>
  <c r="H201" i="6" s="1"/>
  <c r="H87" i="6" s="1"/>
  <c r="J99" i="6"/>
  <c r="E4" i="6" s="1"/>
  <c r="E14" i="7" s="1"/>
  <c r="E188" i="6"/>
  <c r="E191" i="6" s="1"/>
  <c r="D188" i="6"/>
  <c r="D191" i="6" s="1"/>
  <c r="F188" i="6"/>
  <c r="F191" i="6" s="1"/>
  <c r="G188" i="6"/>
  <c r="G191" i="6" s="1"/>
  <c r="H188" i="6"/>
  <c r="H191" i="6" s="1"/>
  <c r="H185" i="6"/>
  <c r="H186" i="6" s="1"/>
  <c r="H190" i="6" s="1"/>
  <c r="E185" i="6"/>
  <c r="E186" i="6" s="1"/>
  <c r="E190" i="6" s="1"/>
  <c r="G185" i="6"/>
  <c r="G186" i="6" s="1"/>
  <c r="G190" i="6" s="1"/>
  <c r="F185" i="6"/>
  <c r="F186" i="6" s="1"/>
  <c r="F190" i="6" s="1"/>
  <c r="D185" i="6"/>
  <c r="D186" i="6" s="1"/>
  <c r="D190" i="6" s="1"/>
  <c r="P99" i="6"/>
  <c r="E5" i="6" s="1"/>
  <c r="E15" i="7" s="1"/>
  <c r="W3" i="2"/>
  <c r="N69" i="2" s="1"/>
  <c r="N70" i="1" s="1"/>
  <c r="L6" i="1" s="1"/>
  <c r="D97" i="6" l="1"/>
  <c r="D3" i="6" s="1"/>
  <c r="D192" i="6"/>
  <c r="G192" i="6"/>
  <c r="E192" i="6"/>
  <c r="F192" i="6"/>
  <c r="H192" i="6"/>
  <c r="E194" i="6" l="1"/>
  <c r="D13" i="7"/>
  <c r="I33" i="7" s="1"/>
  <c r="D98" i="6"/>
  <c r="D103" i="6" s="1"/>
  <c r="E102" i="6" s="1"/>
  <c r="D138" i="6"/>
  <c r="D145" i="6" s="1"/>
  <c r="D114" i="6"/>
  <c r="D121" i="6" s="1"/>
  <c r="D126" i="6"/>
  <c r="D133" i="6" s="1"/>
  <c r="D194" i="6"/>
  <c r="I13" i="7" l="1"/>
  <c r="D34" i="7"/>
  <c r="D104" i="6"/>
  <c r="E103" i="6" s="1"/>
  <c r="F103" i="6" s="1"/>
  <c r="G115" i="6"/>
  <c r="F118" i="6" s="1"/>
  <c r="G117" i="6" s="1"/>
  <c r="H117" i="6" s="1"/>
  <c r="F3" i="6"/>
  <c r="F13" i="7" s="1"/>
  <c r="D102" i="6"/>
  <c r="E101" i="6" s="1"/>
  <c r="D101" i="6"/>
  <c r="E100" i="6" s="1"/>
  <c r="F100" i="6" s="1"/>
  <c r="E33" i="7"/>
  <c r="E34" i="7"/>
  <c r="F34" i="7"/>
  <c r="F33" i="7"/>
  <c r="D33" i="7"/>
  <c r="C34" i="7"/>
  <c r="D32" i="7"/>
  <c r="E32" i="7"/>
  <c r="C33" i="7"/>
  <c r="B32" i="7"/>
  <c r="F32" i="7"/>
  <c r="F101" i="6" l="1"/>
  <c r="F120" i="6"/>
  <c r="G119" i="6" s="1"/>
  <c r="F102" i="6"/>
  <c r="F104" i="6"/>
  <c r="F121" i="6"/>
  <c r="G120" i="6" s="1"/>
  <c r="F119" i="6"/>
  <c r="G118" i="6" s="1"/>
  <c r="H118" i="6" s="1"/>
  <c r="F122" i="6"/>
  <c r="H3" i="6"/>
  <c r="H13" i="7" s="1"/>
  <c r="H119" i="6" l="1"/>
  <c r="H120" i="6"/>
  <c r="D99" i="6"/>
  <c r="E3" i="6" s="1"/>
  <c r="E13" i="7" s="1"/>
  <c r="H122" i="6"/>
  <c r="G121" i="6"/>
  <c r="H121" i="6" s="1"/>
  <c r="D122" i="6" l="1"/>
  <c r="G3" i="6" s="1"/>
  <c r="G13" i="7" s="1"/>
  <c r="H115" i="6" l="1"/>
</calcChain>
</file>

<file path=xl/comments1.xml><?xml version="1.0" encoding="utf-8"?>
<comments xmlns="http://schemas.openxmlformats.org/spreadsheetml/2006/main">
  <authors>
    <author>Plasschaert Laurens</author>
  </authors>
  <commentList>
    <comment ref="C48" authorId="0">
      <text>
        <r>
          <rPr>
            <sz val="9"/>
            <color indexed="81"/>
            <rFont val="Tahoma"/>
            <family val="2"/>
          </rPr>
          <t xml:space="preserve">EN 1993-1-1
</t>
        </r>
      </text>
    </comment>
  </commentList>
</comments>
</file>

<file path=xl/comments2.xml><?xml version="1.0" encoding="utf-8"?>
<comments xmlns="http://schemas.openxmlformats.org/spreadsheetml/2006/main">
  <authors>
    <author>Plasschaert Laurens</author>
  </authors>
  <commentList>
    <comment ref="B26" authorId="0">
      <text>
        <r>
          <rPr>
            <sz val="9"/>
            <color indexed="81"/>
            <rFont val="Tahoma"/>
            <family val="2"/>
          </rPr>
          <t xml:space="preserve">van af de grond
</t>
        </r>
      </text>
    </comment>
  </commentList>
</comments>
</file>

<file path=xl/comments3.xml><?xml version="1.0" encoding="utf-8"?>
<comments xmlns="http://schemas.openxmlformats.org/spreadsheetml/2006/main">
  <authors>
    <author>Plasschaert Laurens</author>
  </authors>
  <commentList>
    <comment ref="B50" authorId="0">
      <text>
        <r>
          <rPr>
            <b/>
            <sz val="9"/>
            <color indexed="81"/>
            <rFont val="Tahoma"/>
            <family val="2"/>
          </rPr>
          <t xml:space="preserve">geen partiele belastings of materiaalfactor gebruiken.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één enkele steun: door asymmetrische belasting of opstelling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Plasschaert Laurens</author>
  </authors>
  <commentList>
    <comment ref="C11" authorId="0">
      <text>
        <r>
          <rPr>
            <sz val="9"/>
            <color indexed="81"/>
            <rFont val="Tahoma"/>
            <family val="2"/>
          </rPr>
          <t xml:space="preserve">afstand van de dichtbijzijnde kant tot de paal verbinding
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zwaarte punt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nakijken eenheden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Plasschaert Laurens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gelijk zijdige driehoek altijd?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afstand is niet gelijk aan de diameter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 xml:space="preserve">enkel voor staal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<sst xmlns="http://schemas.openxmlformats.org/spreadsheetml/2006/main" count="1177" uniqueCount="396">
  <si>
    <t>rond</t>
  </si>
  <si>
    <t>rechthoek</t>
  </si>
  <si>
    <t>driehoek</t>
  </si>
  <si>
    <t>achthoek</t>
  </si>
  <si>
    <t>bord1</t>
  </si>
  <si>
    <t>bord2</t>
  </si>
  <si>
    <t>hoogte onderkant :</t>
  </si>
  <si>
    <t>bord3</t>
  </si>
  <si>
    <t xml:space="preserve">kracht </t>
  </si>
  <si>
    <t>F1</t>
  </si>
  <si>
    <t>F2</t>
  </si>
  <si>
    <t>F3</t>
  </si>
  <si>
    <t>moment</t>
  </si>
  <si>
    <t>M1</t>
  </si>
  <si>
    <t>M2</t>
  </si>
  <si>
    <t>M3</t>
  </si>
  <si>
    <t>veiligheidscoëfficient</t>
  </si>
  <si>
    <t>vormfactor</t>
  </si>
  <si>
    <t>buitendiameter paal</t>
  </si>
  <si>
    <t>D</t>
  </si>
  <si>
    <t>wanddikte</t>
  </si>
  <si>
    <t>s</t>
  </si>
  <si>
    <t>binnendiameter</t>
  </si>
  <si>
    <t>d</t>
  </si>
  <si>
    <t>oppervlaktetraagheidsmoment</t>
  </si>
  <si>
    <t>I</t>
  </si>
  <si>
    <t>weerstandsmoment</t>
  </si>
  <si>
    <t>W</t>
  </si>
  <si>
    <r>
      <t>M</t>
    </r>
    <r>
      <rPr>
        <vertAlign val="subscript"/>
        <sz val="10"/>
        <rFont val="Arial"/>
        <family val="2"/>
      </rPr>
      <t>b,max</t>
    </r>
  </si>
  <si>
    <t>elasticiteitsgrens</t>
  </si>
  <si>
    <r>
      <t>R</t>
    </r>
    <r>
      <rPr>
        <vertAlign val="subscript"/>
        <sz val="10"/>
        <rFont val="Arial"/>
        <family val="2"/>
      </rPr>
      <t>e</t>
    </r>
  </si>
  <si>
    <t>N/mm²</t>
  </si>
  <si>
    <t>windbelasting</t>
  </si>
  <si>
    <t>materiaal coëfficient</t>
  </si>
  <si>
    <t>winddruk(N/m²)</t>
  </si>
  <si>
    <t>winddruk(N/mm²)</t>
  </si>
  <si>
    <r>
      <t>M</t>
    </r>
    <r>
      <rPr>
        <vertAlign val="subscript"/>
        <sz val="10"/>
        <rFont val="Arial"/>
        <family val="2"/>
      </rPr>
      <t>totaal</t>
    </r>
  </si>
  <si>
    <t>diameter :</t>
  </si>
  <si>
    <t>hor. Zijde :</t>
  </si>
  <si>
    <t>zijde▲ :</t>
  </si>
  <si>
    <t>zijde▼ :</t>
  </si>
  <si>
    <t>vert.zijde :</t>
  </si>
  <si>
    <t>opp :</t>
  </si>
  <si>
    <t>aangrijpingspunt :</t>
  </si>
  <si>
    <t>Max.buigmoment</t>
  </si>
  <si>
    <t>buiging</t>
  </si>
  <si>
    <t>E</t>
  </si>
  <si>
    <t>windb</t>
  </si>
  <si>
    <t>TB2</t>
  </si>
  <si>
    <t>TB3</t>
  </si>
  <si>
    <t>TB4</t>
  </si>
  <si>
    <t>TB5</t>
  </si>
  <si>
    <t>TB1</t>
  </si>
  <si>
    <t>buigspanning</t>
  </si>
  <si>
    <t>kracht</t>
  </si>
  <si>
    <t>uitbuiging</t>
  </si>
  <si>
    <t>opp</t>
  </si>
  <si>
    <t>buigs.</t>
  </si>
  <si>
    <t>uitwijking</t>
  </si>
  <si>
    <t>klasse</t>
  </si>
  <si>
    <t>mm/m</t>
  </si>
  <si>
    <t>B1</t>
  </si>
  <si>
    <t>B2</t>
  </si>
  <si>
    <t>B3</t>
  </si>
  <si>
    <t>diameter</t>
  </si>
  <si>
    <t>h</t>
  </si>
  <si>
    <t>tellen aantal borden</t>
  </si>
  <si>
    <t>voeg</t>
  </si>
  <si>
    <t>bord</t>
  </si>
  <si>
    <t>uitwijking11</t>
  </si>
  <si>
    <t>uitwijking12</t>
  </si>
  <si>
    <t>uitwijking21</t>
  </si>
  <si>
    <t>uitwijking22</t>
  </si>
  <si>
    <t>uitwijking3</t>
  </si>
  <si>
    <t>uitwijkingT</t>
  </si>
  <si>
    <t>uitwijking per m</t>
  </si>
  <si>
    <t>4  zijde▼ :</t>
  </si>
  <si>
    <t>ruit</t>
  </si>
  <si>
    <t>diagonaal</t>
  </si>
  <si>
    <t>b1</t>
  </si>
  <si>
    <t>b2</t>
  </si>
  <si>
    <t>b3</t>
  </si>
  <si>
    <t>aantal palen</t>
  </si>
  <si>
    <t>ver.zijde H</t>
  </si>
  <si>
    <t>hor. Zijde B :</t>
  </si>
  <si>
    <t>Staal</t>
  </si>
  <si>
    <t>Aluminium</t>
  </si>
  <si>
    <t>Hout</t>
  </si>
  <si>
    <t>Vezelvesterkte polymeer</t>
  </si>
  <si>
    <t>Kunststoffen</t>
  </si>
  <si>
    <r>
      <t xml:space="preserve">Partiele veiligheidsfactoren </t>
    </r>
    <r>
      <rPr>
        <sz val="10"/>
        <rFont val="Calibri"/>
        <family val="2"/>
      </rPr>
      <t>y</t>
    </r>
    <r>
      <rPr>
        <sz val="8"/>
        <rFont val="Calibri"/>
        <family val="2"/>
      </rPr>
      <t>F</t>
    </r>
  </si>
  <si>
    <t>PAF1</t>
  </si>
  <si>
    <t>PAF2</t>
  </si>
  <si>
    <t>Wind, sneeuw en puntbelasting</t>
  </si>
  <si>
    <t xml:space="preserve"> eigen gewicht</t>
  </si>
  <si>
    <t>Vormfactor</t>
  </si>
  <si>
    <t>Vlakke verkeersborden</t>
  </si>
  <si>
    <t>Windbelasting</t>
  </si>
  <si>
    <t>WLO</t>
  </si>
  <si>
    <t>WL1</t>
  </si>
  <si>
    <t>WL2</t>
  </si>
  <si>
    <t>WL3</t>
  </si>
  <si>
    <t>WL4</t>
  </si>
  <si>
    <t>WL5</t>
  </si>
  <si>
    <t>WL6</t>
  </si>
  <si>
    <t>WL7</t>
  </si>
  <si>
    <t>WL8</t>
  </si>
  <si>
    <t>WL9</t>
  </si>
  <si>
    <t>geen prestatie bepaald</t>
  </si>
  <si>
    <t>kN/m²</t>
  </si>
  <si>
    <t>berachting gebied, kustgebied, wijde riviermonden</t>
  </si>
  <si>
    <t xml:space="preserve">Dynamische druk </t>
  </si>
  <si>
    <t>DSL0</t>
  </si>
  <si>
    <t>DSL1</t>
  </si>
  <si>
    <t>DSL2</t>
  </si>
  <si>
    <t>DSL3</t>
  </si>
  <si>
    <t>DSL4</t>
  </si>
  <si>
    <t>Punt belasting</t>
  </si>
  <si>
    <t>Klasse</t>
  </si>
  <si>
    <t>PL0</t>
  </si>
  <si>
    <t>PL1</t>
  </si>
  <si>
    <t>PL2</t>
  </si>
  <si>
    <t>PL3</t>
  </si>
  <si>
    <t>PL4</t>
  </si>
  <si>
    <t>PL5</t>
  </si>
  <si>
    <t>factor voor berekening van tijdelijke vervorming (5,4,1)</t>
  </si>
  <si>
    <t>Maximale tijdelijke vervorming Uitbuiging</t>
  </si>
  <si>
    <t>TDB0</t>
  </si>
  <si>
    <t>TDB1</t>
  </si>
  <si>
    <t>TDB2</t>
  </si>
  <si>
    <t>TDB3</t>
  </si>
  <si>
    <t>TDB4</t>
  </si>
  <si>
    <t>TDB5</t>
  </si>
  <si>
    <t>TDB6</t>
  </si>
  <si>
    <t>Maximale tijdelijke vervorming Wringing</t>
  </si>
  <si>
    <t>TBT0</t>
  </si>
  <si>
    <t>TBT1</t>
  </si>
  <si>
    <t>TBT2</t>
  </si>
  <si>
    <t>TBT3</t>
  </si>
  <si>
    <t>TBT4</t>
  </si>
  <si>
    <t>TBT5</t>
  </si>
  <si>
    <t>TBT6</t>
  </si>
  <si>
    <t>Constanten uit de Norm NBN EN 12899-1:2008</t>
  </si>
  <si>
    <t>Vaste constanten</t>
  </si>
  <si>
    <t>N/m²</t>
  </si>
  <si>
    <t>100 % kracht</t>
  </si>
  <si>
    <t>aantal borden</t>
  </si>
  <si>
    <t>mm</t>
  </si>
  <si>
    <t>mm4</t>
  </si>
  <si>
    <t>mm³</t>
  </si>
  <si>
    <t>Nmm</t>
  </si>
  <si>
    <t>50% kracht</t>
  </si>
  <si>
    <t>30% kracht</t>
  </si>
  <si>
    <t>TDB bepalen</t>
  </si>
  <si>
    <t>100% kracht</t>
  </si>
  <si>
    <t>wordt niet gebruikt</t>
  </si>
  <si>
    <t>Aantal palen</t>
  </si>
  <si>
    <r>
      <t xml:space="preserve">Partiele Materiaalfactoren </t>
    </r>
    <r>
      <rPr>
        <sz val="10"/>
        <rFont val="Calibri"/>
        <family val="2"/>
      </rPr>
      <t>y</t>
    </r>
    <r>
      <rPr>
        <sz val="8"/>
        <rFont val="Calibri"/>
        <family val="2"/>
      </rPr>
      <t>m</t>
    </r>
  </si>
  <si>
    <t>Soorten borden</t>
  </si>
  <si>
    <t>Bord1</t>
  </si>
  <si>
    <t>Rond</t>
  </si>
  <si>
    <t>Rechthoek</t>
  </si>
  <si>
    <t>Driehoek</t>
  </si>
  <si>
    <t>Achthoek</t>
  </si>
  <si>
    <t>Ruit</t>
  </si>
  <si>
    <t>Hoogte onderkant:</t>
  </si>
  <si>
    <t>Bord2</t>
  </si>
  <si>
    <t>Berekening</t>
  </si>
  <si>
    <t>Wringing</t>
  </si>
  <si>
    <t>Enkel bij asymmetrische borden</t>
  </si>
  <si>
    <t>Asymmetrische borden</t>
  </si>
  <si>
    <t>Korte afstand</t>
  </si>
  <si>
    <t>Bord3</t>
  </si>
  <si>
    <t>Bord 1</t>
  </si>
  <si>
    <t>lange afstand</t>
  </si>
  <si>
    <t>Winddruk</t>
  </si>
  <si>
    <t>kracht1</t>
  </si>
  <si>
    <t>N</t>
  </si>
  <si>
    <t>G</t>
  </si>
  <si>
    <t xml:space="preserve">Elasticiteitsmodulus </t>
  </si>
  <si>
    <t xml:space="preserve">Glijmodulus </t>
  </si>
  <si>
    <t>Ip</t>
  </si>
  <si>
    <t>excentrike punt</t>
  </si>
  <si>
    <t>m</t>
  </si>
  <si>
    <t xml:space="preserve">t </t>
  </si>
  <si>
    <t>°/m</t>
  </si>
  <si>
    <t>Indien er een ander diameter of wanddikte  moet getest worden</t>
  </si>
  <si>
    <r>
      <t xml:space="preserve"> Partiele Materiaalfactoren </t>
    </r>
    <r>
      <rPr>
        <b/>
        <sz val="10"/>
        <rFont val="Calibri"/>
        <family val="2"/>
      </rPr>
      <t>y</t>
    </r>
    <r>
      <rPr>
        <b/>
        <sz val="8"/>
        <rFont val="Calibri"/>
        <family val="2"/>
      </rPr>
      <t>m</t>
    </r>
  </si>
  <si>
    <r>
      <t xml:space="preserve">Partiele veiligheidsfactoren </t>
    </r>
    <r>
      <rPr>
        <b/>
        <sz val="10"/>
        <rFont val="Calibri"/>
        <family val="2"/>
      </rPr>
      <t>y</t>
    </r>
    <r>
      <rPr>
        <b/>
        <sz val="8"/>
        <rFont val="Calibri"/>
        <family val="2"/>
      </rPr>
      <t>F</t>
    </r>
  </si>
  <si>
    <t>Tijdelijke vervorming</t>
  </si>
  <si>
    <t>Blijvende vervorming</t>
  </si>
  <si>
    <t>TOTAAL</t>
  </si>
  <si>
    <t>Traagheidsmoment I</t>
  </si>
  <si>
    <t>Weerstandsmoment I/v</t>
  </si>
  <si>
    <r>
      <t>Polair weerstandsmoment 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/v</t>
    </r>
  </si>
  <si>
    <t>Diameter</t>
  </si>
  <si>
    <t xml:space="preserve">Max. schuifspanning </t>
  </si>
  <si>
    <r>
      <rPr>
        <sz val="10"/>
        <rFont val="Calibri"/>
        <family val="2"/>
      </rPr>
      <t>τ</t>
    </r>
    <r>
      <rPr>
        <sz val="10"/>
        <rFont val="Arial"/>
        <family val="2"/>
      </rPr>
      <t>max</t>
    </r>
  </si>
  <si>
    <r>
      <t>Max. toegestaan buigmoment R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.I/v</t>
    </r>
  </si>
  <si>
    <t>kNm</t>
  </si>
  <si>
    <r>
      <t>Max. toegestaan wringingsmoment t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*I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/v</t>
    </r>
  </si>
  <si>
    <t>Tijdelijke buiging</t>
  </si>
  <si>
    <t>wring moment</t>
  </si>
  <si>
    <t>τ</t>
  </si>
  <si>
    <t>σ</t>
  </si>
  <si>
    <t>σr (totaal)</t>
  </si>
  <si>
    <t>Buiging door puntbelasting</t>
  </si>
  <si>
    <t>Wring door puntbelasting</t>
  </si>
  <si>
    <t>Buiging door windbelasting</t>
  </si>
  <si>
    <t>vergelijking met max σr (totaal)</t>
  </si>
  <si>
    <t>som van voorwaarden</t>
  </si>
  <si>
    <t>keuzen door wring</t>
  </si>
  <si>
    <t>voorwaarden voor altijd een TDB klassen kan</t>
  </si>
  <si>
    <t>Bord 2</t>
  </si>
  <si>
    <t>Bord 3</t>
  </si>
  <si>
    <t>bovenstuk</t>
  </si>
  <si>
    <t>stukken</t>
  </si>
  <si>
    <t>onderstuk</t>
  </si>
  <si>
    <t>aantal stukken</t>
  </si>
  <si>
    <t>Grootste paal</t>
  </si>
  <si>
    <t>kleinste paal</t>
  </si>
  <si>
    <t>Afstanden van driehoek</t>
  </si>
  <si>
    <t>X</t>
  </si>
  <si>
    <t>hoogte</t>
  </si>
  <si>
    <t>schijne zijde</t>
  </si>
  <si>
    <t>kracht van de windbelasting</t>
  </si>
  <si>
    <t>Windkracht berekening</t>
  </si>
  <si>
    <t>veronderstellen dat de kracht centraal aangrijpt.</t>
  </si>
  <si>
    <t>aangrijpingshoog</t>
  </si>
  <si>
    <t>Nm</t>
  </si>
  <si>
    <t>bovenhoek</t>
  </si>
  <si>
    <t>onderhoek</t>
  </si>
  <si>
    <t>X1</t>
  </si>
  <si>
    <t>X2</t>
  </si>
  <si>
    <t>X3</t>
  </si>
  <si>
    <t>afstand</t>
  </si>
  <si>
    <t>Moment</t>
  </si>
  <si>
    <t>diamterbinnen</t>
  </si>
  <si>
    <t>buitendiameter</t>
  </si>
  <si>
    <t>binnenstaaf</t>
  </si>
  <si>
    <t>Drukkracht 2 palen</t>
  </si>
  <si>
    <t>Drukkracht 3 palen</t>
  </si>
  <si>
    <t>kniklengte</t>
  </si>
  <si>
    <t>Lk</t>
  </si>
  <si>
    <t>i</t>
  </si>
  <si>
    <t xml:space="preserve">oppervlakte </t>
  </si>
  <si>
    <t>lambada</t>
  </si>
  <si>
    <t>lambada re</t>
  </si>
  <si>
    <t>Tabel voor S235</t>
  </si>
  <si>
    <t>Knikfactor</t>
  </si>
  <si>
    <t>relatieve slankheid</t>
  </si>
  <si>
    <t>knikfactor</t>
  </si>
  <si>
    <t>Druk op 2 palen</t>
  </si>
  <si>
    <t>Druk op 3 palen</t>
  </si>
  <si>
    <t>Drukkracht palen</t>
  </si>
  <si>
    <t>Drukkrachten staven</t>
  </si>
  <si>
    <t>Drukkracht 2 staven</t>
  </si>
  <si>
    <t>Drukkracht 3 staven</t>
  </si>
  <si>
    <t>binnendiamter</t>
  </si>
  <si>
    <t>Voetplaat</t>
  </si>
  <si>
    <t>Diktevoetplaat</t>
  </si>
  <si>
    <t>Breedte voetplaat</t>
  </si>
  <si>
    <t>Boutenafstand</t>
  </si>
  <si>
    <t>Kracht per bout</t>
  </si>
  <si>
    <t>trekkracht</t>
  </si>
  <si>
    <t>afschijving</t>
  </si>
  <si>
    <t>cirkel van more</t>
  </si>
  <si>
    <t>afchijfkracht</t>
  </si>
  <si>
    <t>Bouten van de voetplaten</t>
  </si>
  <si>
    <t>Bout</t>
  </si>
  <si>
    <t>M16</t>
  </si>
  <si>
    <t>fu</t>
  </si>
  <si>
    <t>fe</t>
  </si>
  <si>
    <t>mm²</t>
  </si>
  <si>
    <t>As</t>
  </si>
  <si>
    <t>fd</t>
  </si>
  <si>
    <t>fe= fc</t>
  </si>
  <si>
    <t>afschijvingskracht</t>
  </si>
  <si>
    <t>algemene conclusie</t>
  </si>
  <si>
    <t>2 palen</t>
  </si>
  <si>
    <t>3 palen</t>
  </si>
  <si>
    <t xml:space="preserve"> Samenvatting</t>
  </si>
  <si>
    <t>Gegevens Vakwerk</t>
  </si>
  <si>
    <t>Paal 1</t>
  </si>
  <si>
    <t>Paal 2</t>
  </si>
  <si>
    <t>Diameter paal1 en paal 2</t>
  </si>
  <si>
    <t>Afstanden x-richting</t>
  </si>
  <si>
    <t>Afstand van de driehoek y-as</t>
  </si>
  <si>
    <t>Veiligheidsfactor krachten</t>
  </si>
  <si>
    <t>Dikte</t>
  </si>
  <si>
    <t>Afstand tussen de bouten</t>
  </si>
  <si>
    <t>hoogte bord</t>
  </si>
  <si>
    <t>paal</t>
  </si>
  <si>
    <t>breedte bord</t>
  </si>
  <si>
    <t>Totale lengte</t>
  </si>
  <si>
    <t>kN</t>
  </si>
  <si>
    <t>Ip gebruiken</t>
  </si>
  <si>
    <r>
      <t>Polaire traagheidsmoment I</t>
    </r>
    <r>
      <rPr>
        <vertAlign val="subscript"/>
        <sz val="10"/>
        <rFont val="Arial"/>
        <family val="2"/>
      </rPr>
      <t>p</t>
    </r>
  </si>
  <si>
    <t>controle stabiliteit</t>
  </si>
  <si>
    <t>spannig</t>
  </si>
  <si>
    <t xml:space="preserve">Nm </t>
  </si>
  <si>
    <t>mm3</t>
  </si>
  <si>
    <t>Drukspanning 2 staven</t>
  </si>
  <si>
    <t>Drukspanning 3 staven</t>
  </si>
  <si>
    <t>Ponsweerstand van de voetplaat</t>
  </si>
  <si>
    <t>Verticale puntbelasting</t>
  </si>
  <si>
    <t>Wanddikte (T)</t>
  </si>
  <si>
    <t>Buiten diameter paal (D)</t>
  </si>
  <si>
    <t>Tension resistance</t>
  </si>
  <si>
    <t>bearing resistance</t>
  </si>
  <si>
    <t>EN 1993-8</t>
  </si>
  <si>
    <t>k1</t>
  </si>
  <si>
    <t>ab</t>
  </si>
  <si>
    <t>ym2</t>
  </si>
  <si>
    <t>k2</t>
  </si>
  <si>
    <t>Maximale toegelaten spanning</t>
  </si>
  <si>
    <t>Maximale toegelaten Spanning</t>
  </si>
  <si>
    <t>d*t</t>
  </si>
  <si>
    <t xml:space="preserve">A </t>
  </si>
  <si>
    <t>Nee</t>
  </si>
  <si>
    <t>Maximale tijdelijke vervorming</t>
  </si>
  <si>
    <t xml:space="preserve">H = </t>
  </si>
  <si>
    <t>VOLUME =</t>
  </si>
  <si>
    <t>m³</t>
  </si>
  <si>
    <t>k</t>
  </si>
  <si>
    <t xml:space="preserve">g = </t>
  </si>
  <si>
    <t>N/kg</t>
  </si>
  <si>
    <t xml:space="preserve">M = </t>
  </si>
  <si>
    <t>kg/m³ x VOLUME</t>
  </si>
  <si>
    <t xml:space="preserve">Mst = </t>
  </si>
  <si>
    <t>fijn zand</t>
  </si>
  <si>
    <t>vochtige klei</t>
  </si>
  <si>
    <t>grof zand</t>
  </si>
  <si>
    <t>droge klei</t>
  </si>
  <si>
    <t xml:space="preserve">D (loodrecht) = </t>
  </si>
  <si>
    <t xml:space="preserve">B (evenwijdig) = </t>
  </si>
  <si>
    <t>Gewicht sokkel</t>
  </si>
  <si>
    <t>kg</t>
  </si>
  <si>
    <t>Totale oppervlakte</t>
  </si>
  <si>
    <t>Elasticiteitsgrens</t>
  </si>
  <si>
    <t>Re, E, G nog niet ingevoegd voor de andere producten.</t>
  </si>
  <si>
    <t>Diameter tussen staven</t>
  </si>
  <si>
    <t>Breedte</t>
  </si>
  <si>
    <t>Veiligheidsfactor bouten</t>
  </si>
  <si>
    <t>Uitwijking</t>
  </si>
  <si>
    <t>INVOER</t>
  </si>
  <si>
    <t xml:space="preserve">Resultaten </t>
  </si>
  <si>
    <t xml:space="preserve">bij gebruik van </t>
  </si>
  <si>
    <t>steunen</t>
  </si>
  <si>
    <t>Resultaten</t>
  </si>
  <si>
    <t>vakwerk</t>
  </si>
  <si>
    <t>Vorm van bord</t>
  </si>
  <si>
    <t>Invoer en resultaten</t>
  </si>
  <si>
    <t>Vaste constanten en vakwerkgegevens</t>
  </si>
  <si>
    <t>Afmetingen</t>
  </si>
  <si>
    <t xml:space="preserve">Mb = </t>
  </si>
  <si>
    <t>Geef de afmetingen</t>
  </si>
  <si>
    <t>van de sokkel</t>
  </si>
  <si>
    <t>hier in</t>
  </si>
  <si>
    <t>Selecteer de ondergrond</t>
  </si>
  <si>
    <t>Berekening van de sokkel</t>
  </si>
  <si>
    <t>Aantal steunen</t>
  </si>
  <si>
    <t>Enkel rechthoekige borden kunnen meerdere steunen hebben (hou rekening met breedte)</t>
  </si>
  <si>
    <t>Meer dan 3 rechthoekinge borden (wegwijzers) herleiden tot 1 groot rechthoeking bord</t>
  </si>
  <si>
    <t>Diameter (mm) :</t>
  </si>
  <si>
    <t>Hor. Zijde B (mm):</t>
  </si>
  <si>
    <t>Zijde▲ (mm):</t>
  </si>
  <si>
    <t>Diameter (mm):</t>
  </si>
  <si>
    <t>Diagonaal (mm):</t>
  </si>
  <si>
    <t>Hoogte onderkant = h1 (mm):</t>
  </si>
  <si>
    <t>X1 (mm)</t>
  </si>
  <si>
    <t>X2 (mm)</t>
  </si>
  <si>
    <t>X3 (mm)</t>
  </si>
  <si>
    <t xml:space="preserve">k = </t>
  </si>
  <si>
    <t>Bestek:</t>
  </si>
  <si>
    <t>Aannemer:</t>
  </si>
  <si>
    <t>Adres aannemer:</t>
  </si>
  <si>
    <t>Opstelling nr:</t>
  </si>
  <si>
    <t>Berekeningsoverzicht</t>
  </si>
  <si>
    <t>Ident8:</t>
  </si>
  <si>
    <t>Refpunt:</t>
  </si>
  <si>
    <t>Verplaatsing:</t>
  </si>
  <si>
    <t>Zijde:</t>
  </si>
  <si>
    <t>vul hier naam in</t>
  </si>
  <si>
    <t>vul hier adres in</t>
  </si>
  <si>
    <t>geef besteknummer (indien gekend)</t>
  </si>
  <si>
    <t>geef het opstellingsnummer of beschrijving van de opstelling</t>
  </si>
  <si>
    <t>Bij het plaatsen van borden A t/m E steeds 100% kracht nemen = 1 steun</t>
  </si>
  <si>
    <t xml:space="preserve">Rechthoekige borden B&gt;=1100 en wegwijzers B&gt;=850 steeds op 2 steunen </t>
  </si>
  <si>
    <t>De gebruiker wordt verondersteld de berekeningswijze volgens de NBN EN 12899-1 en PTV 662 volledig te beheersen.</t>
  </si>
  <si>
    <t>Het verkeerd gebruik van de rekenmodule en het fout dimensioneren van steunen en  bijhorende sokkel door de ontwerper legt geen enkele verantwoordelijkheid bij de Vlaamse Overheid.</t>
  </si>
  <si>
    <t>1 steun</t>
  </si>
  <si>
    <t>Aantal steunen:</t>
  </si>
  <si>
    <t>Resultaat per steun</t>
  </si>
  <si>
    <t>2 steunen</t>
  </si>
  <si>
    <t>3 steunen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</si>
</sst>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#"/>
  </numFmts>
  <fonts count="3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Verdana"/>
      <family val="2"/>
    </font>
    <font>
      <sz val="10"/>
      <color theme="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trike/>
      <sz val="10"/>
      <name val="Arial"/>
      <family val="2"/>
    </font>
    <font>
      <sz val="24"/>
      <name val="Arial"/>
      <family val="2"/>
    </font>
    <font>
      <sz val="48"/>
      <color theme="9" tint="-0.249977111117893"/>
      <name val="Arial"/>
      <family val="2"/>
    </font>
    <font>
      <b/>
      <sz val="10"/>
      <color rgb="FFB6D02E"/>
      <name val="Arial"/>
      <family val="2"/>
    </font>
    <font>
      <sz val="24"/>
      <color rgb="FFC75A11"/>
      <name val="Arial"/>
      <family val="2"/>
    </font>
    <font>
      <sz val="26"/>
      <color rgb="FFC75A11"/>
      <name val="Arial"/>
      <family val="2"/>
    </font>
    <font>
      <sz val="28"/>
      <color rgb="FFC75A11"/>
      <name val="Arial"/>
      <family val="2"/>
    </font>
    <font>
      <sz val="11"/>
      <color theme="9" tint="-0.249977111117893"/>
      <name val="Arial"/>
      <family val="2"/>
    </font>
    <font>
      <sz val="20"/>
      <color rgb="FFF89E1B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9E1B"/>
        <bgColor indexed="64"/>
      </patternFill>
    </fill>
    <fill>
      <patternFill patternType="solid">
        <fgColor rgb="FFB6D02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0" xfId="0" applyBorder="1"/>
    <xf numFmtId="164" fontId="0" fillId="0" borderId="0" xfId="0" applyNumberFormat="1"/>
    <xf numFmtId="1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1" fontId="0" fillId="2" borderId="0" xfId="0" applyNumberFormat="1" applyFill="1"/>
    <xf numFmtId="0" fontId="0" fillId="0" borderId="0" xfId="0" applyFill="1"/>
    <xf numFmtId="0" fontId="0" fillId="3" borderId="9" xfId="0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14" xfId="0" applyBorder="1"/>
    <xf numFmtId="0" fontId="9" fillId="0" borderId="0" xfId="0" applyFont="1"/>
    <xf numFmtId="0" fontId="2" fillId="4" borderId="10" xfId="0" applyFont="1" applyFill="1" applyBorder="1"/>
    <xf numFmtId="0" fontId="2" fillId="5" borderId="10" xfId="0" applyFont="1" applyFill="1" applyBorder="1"/>
    <xf numFmtId="2" fontId="2" fillId="5" borderId="10" xfId="0" applyNumberFormat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2" fillId="0" borderId="15" xfId="0" applyFont="1" applyBorder="1"/>
    <xf numFmtId="0" fontId="2" fillId="0" borderId="2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19" xfId="0" applyFont="1" applyBorder="1"/>
    <xf numFmtId="2" fontId="0" fillId="0" borderId="19" xfId="0" applyNumberFormat="1" applyBorder="1"/>
    <xf numFmtId="2" fontId="0" fillId="0" borderId="22" xfId="0" applyNumberFormat="1" applyBorder="1"/>
    <xf numFmtId="0" fontId="2" fillId="6" borderId="15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2" fillId="6" borderId="18" xfId="0" applyFont="1" applyFill="1" applyBorder="1"/>
    <xf numFmtId="0" fontId="0" fillId="6" borderId="0" xfId="0" applyFill="1" applyBorder="1"/>
    <xf numFmtId="0" fontId="0" fillId="6" borderId="19" xfId="0" applyFill="1" applyBorder="1"/>
    <xf numFmtId="0" fontId="2" fillId="6" borderId="19" xfId="0" applyFont="1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9" fillId="0" borderId="16" xfId="0" applyFont="1" applyBorder="1"/>
    <xf numFmtId="2" fontId="0" fillId="0" borderId="17" xfId="0" applyNumberFormat="1" applyBorder="1"/>
    <xf numFmtId="0" fontId="9" fillId="0" borderId="0" xfId="0" applyFont="1" applyBorder="1"/>
    <xf numFmtId="0" fontId="9" fillId="0" borderId="21" xfId="0" applyFont="1" applyBorder="1"/>
    <xf numFmtId="0" fontId="2" fillId="0" borderId="22" xfId="0" applyFont="1" applyBorder="1"/>
    <xf numFmtId="0" fontId="2" fillId="0" borderId="0" xfId="0" applyFont="1" applyFill="1" applyBorder="1"/>
    <xf numFmtId="0" fontId="0" fillId="6" borderId="15" xfId="0" applyFill="1" applyBorder="1"/>
    <xf numFmtId="0" fontId="2" fillId="6" borderId="20" xfId="0" applyFont="1" applyFill="1" applyBorder="1"/>
    <xf numFmtId="0" fontId="0" fillId="0" borderId="27" xfId="0" applyBorder="1"/>
    <xf numFmtId="0" fontId="2" fillId="0" borderId="21" xfId="0" applyFont="1" applyFill="1" applyBorder="1"/>
    <xf numFmtId="0" fontId="0" fillId="0" borderId="28" xfId="0" applyBorder="1"/>
    <xf numFmtId="0" fontId="0" fillId="0" borderId="26" xfId="0" applyBorder="1"/>
    <xf numFmtId="0" fontId="0" fillId="0" borderId="29" xfId="0" applyBorder="1"/>
    <xf numFmtId="0" fontId="9" fillId="6" borderId="15" xfId="0" applyFont="1" applyFill="1" applyBorder="1"/>
    <xf numFmtId="0" fontId="9" fillId="6" borderId="18" xfId="0" applyFont="1" applyFill="1" applyBorder="1"/>
    <xf numFmtId="0" fontId="9" fillId="6" borderId="20" xfId="0" applyFont="1" applyFill="1" applyBorder="1"/>
    <xf numFmtId="1" fontId="0" fillId="0" borderId="0" xfId="0" applyNumberFormat="1" applyBorder="1"/>
    <xf numFmtId="2" fontId="0" fillId="0" borderId="0" xfId="0" applyNumberFormat="1" applyBorder="1"/>
    <xf numFmtId="0" fontId="2" fillId="0" borderId="18" xfId="0" applyFont="1" applyBorder="1"/>
    <xf numFmtId="0" fontId="11" fillId="0" borderId="20" xfId="0" applyFont="1" applyBorder="1"/>
    <xf numFmtId="2" fontId="0" fillId="7" borderId="21" xfId="0" applyNumberFormat="1" applyFill="1" applyBorder="1"/>
    <xf numFmtId="0" fontId="12" fillId="0" borderId="0" xfId="0" applyFont="1"/>
    <xf numFmtId="0" fontId="0" fillId="7" borderId="0" xfId="0" applyFill="1"/>
    <xf numFmtId="0" fontId="0" fillId="8" borderId="0" xfId="0" applyFill="1" applyBorder="1"/>
    <xf numFmtId="0" fontId="2" fillId="6" borderId="0" xfId="0" applyFont="1" applyFill="1" applyBorder="1"/>
    <xf numFmtId="0" fontId="2" fillId="8" borderId="1" xfId="0" applyFont="1" applyFill="1" applyBorder="1"/>
    <xf numFmtId="0" fontId="0" fillId="8" borderId="2" xfId="0" applyFill="1" applyBorder="1"/>
    <xf numFmtId="0" fontId="2" fillId="8" borderId="30" xfId="0" applyFont="1" applyFill="1" applyBorder="1"/>
    <xf numFmtId="0" fontId="0" fillId="8" borderId="21" xfId="0" applyFill="1" applyBorder="1"/>
    <xf numFmtId="0" fontId="0" fillId="8" borderId="7" xfId="0" applyFill="1" applyBorder="1"/>
    <xf numFmtId="0" fontId="10" fillId="0" borderId="0" xfId="0" applyFont="1"/>
    <xf numFmtId="0" fontId="0" fillId="7" borderId="31" xfId="0" applyFill="1" applyBorder="1"/>
    <xf numFmtId="2" fontId="0" fillId="0" borderId="32" xfId="0" applyNumberFormat="1" applyBorder="1"/>
    <xf numFmtId="0" fontId="2" fillId="8" borderId="21" xfId="0" applyFont="1" applyFill="1" applyBorder="1"/>
    <xf numFmtId="0" fontId="0" fillId="8" borderId="22" xfId="0" applyFill="1" applyBorder="1"/>
    <xf numFmtId="0" fontId="2" fillId="6" borderId="21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0" fillId="6" borderId="0" xfId="0" applyFill="1"/>
    <xf numFmtId="0" fontId="9" fillId="6" borderId="23" xfId="0" applyFont="1" applyFill="1" applyBorder="1"/>
    <xf numFmtId="0" fontId="0" fillId="6" borderId="24" xfId="0" applyFill="1" applyBorder="1"/>
    <xf numFmtId="0" fontId="2" fillId="6" borderId="22" xfId="0" applyFont="1" applyFill="1" applyBorder="1"/>
    <xf numFmtId="0" fontId="0" fillId="8" borderId="19" xfId="0" applyFill="1" applyBorder="1"/>
    <xf numFmtId="1" fontId="0" fillId="8" borderId="19" xfId="0" applyNumberFormat="1" applyFill="1" applyBorder="1"/>
    <xf numFmtId="1" fontId="0" fillId="8" borderId="22" xfId="0" applyNumberFormat="1" applyFill="1" applyBorder="1"/>
    <xf numFmtId="2" fontId="0" fillId="8" borderId="25" xfId="0" applyNumberFormat="1" applyFill="1" applyBorder="1"/>
    <xf numFmtId="2" fontId="0" fillId="8" borderId="19" xfId="0" applyNumberFormat="1" applyFill="1" applyBorder="1"/>
    <xf numFmtId="2" fontId="0" fillId="8" borderId="22" xfId="0" applyNumberForma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0" fontId="2" fillId="8" borderId="22" xfId="0" applyFont="1" applyFill="1" applyBorder="1"/>
    <xf numFmtId="0" fontId="15" fillId="9" borderId="0" xfId="0" applyFont="1" applyFill="1"/>
    <xf numFmtId="0" fontId="0" fillId="9" borderId="0" xfId="0" applyFill="1"/>
    <xf numFmtId="0" fontId="16" fillId="9" borderId="0" xfId="0" applyFont="1" applyFill="1"/>
    <xf numFmtId="2" fontId="0" fillId="7" borderId="0" xfId="0" applyNumberFormat="1" applyFill="1"/>
    <xf numFmtId="0" fontId="7" fillId="0" borderId="18" xfId="0" applyFont="1" applyBorder="1"/>
    <xf numFmtId="0" fontId="7" fillId="0" borderId="20" xfId="0" applyFont="1" applyBorder="1"/>
    <xf numFmtId="0" fontId="7" fillId="0" borderId="0" xfId="0" applyFont="1"/>
    <xf numFmtId="0" fontId="13" fillId="0" borderId="0" xfId="0" applyFont="1"/>
    <xf numFmtId="2" fontId="0" fillId="0" borderId="0" xfId="0" applyNumberFormat="1" applyFill="1"/>
    <xf numFmtId="0" fontId="9" fillId="0" borderId="0" xfId="0" applyNumberFormat="1" applyFont="1"/>
    <xf numFmtId="0" fontId="2" fillId="0" borderId="20" xfId="0" applyFont="1" applyFill="1" applyBorder="1"/>
    <xf numFmtId="0" fontId="2" fillId="0" borderId="22" xfId="0" applyFont="1" applyFill="1" applyBorder="1"/>
    <xf numFmtId="0" fontId="7" fillId="0" borderId="15" xfId="0" applyFon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2" fontId="0" fillId="0" borderId="16" xfId="0" applyNumberFormat="1" applyBorder="1"/>
    <xf numFmtId="0" fontId="9" fillId="6" borderId="15" xfId="0" applyNumberFormat="1" applyFont="1" applyFill="1" applyBorder="1"/>
    <xf numFmtId="1" fontId="0" fillId="8" borderId="16" xfId="0" applyNumberFormat="1" applyFill="1" applyBorder="1"/>
    <xf numFmtId="2" fontId="0" fillId="8" borderId="0" xfId="0" applyNumberFormat="1" applyFill="1" applyBorder="1"/>
    <xf numFmtId="1" fontId="0" fillId="8" borderId="0" xfId="0" applyNumberFormat="1" applyFill="1" applyBorder="1"/>
    <xf numFmtId="0" fontId="9" fillId="9" borderId="15" xfId="0" applyNumberFormat="1" applyFont="1" applyFill="1" applyBorder="1"/>
    <xf numFmtId="0" fontId="9" fillId="9" borderId="18" xfId="0" applyFont="1" applyFill="1" applyBorder="1"/>
    <xf numFmtId="0" fontId="0" fillId="9" borderId="18" xfId="0" applyFill="1" applyBorder="1"/>
    <xf numFmtId="0" fontId="2" fillId="9" borderId="20" xfId="0" applyFont="1" applyFill="1" applyBorder="1"/>
    <xf numFmtId="0" fontId="0" fillId="10" borderId="21" xfId="0" applyFill="1" applyBorder="1"/>
    <xf numFmtId="0" fontId="0" fillId="10" borderId="22" xfId="0" applyFill="1" applyBorder="1"/>
    <xf numFmtId="0" fontId="2" fillId="8" borderId="0" xfId="0" applyFont="1" applyFill="1" applyBorder="1"/>
    <xf numFmtId="0" fontId="2" fillId="8" borderId="19" xfId="0" applyFont="1" applyFill="1" applyBorder="1"/>
    <xf numFmtId="0" fontId="0" fillId="4" borderId="20" xfId="0" applyFill="1" applyBorder="1"/>
    <xf numFmtId="1" fontId="0" fillId="0" borderId="15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2" fontId="9" fillId="0" borderId="0" xfId="0" applyNumberFormat="1" applyFont="1"/>
    <xf numFmtId="2" fontId="2" fillId="0" borderId="0" xfId="0" applyNumberFormat="1" applyFont="1"/>
    <xf numFmtId="0" fontId="0" fillId="11" borderId="20" xfId="0" applyFill="1" applyBorder="1"/>
    <xf numFmtId="4" fontId="0" fillId="8" borderId="19" xfId="0" applyNumberFormat="1" applyFill="1" applyBorder="1"/>
    <xf numFmtId="4" fontId="0" fillId="8" borderId="22" xfId="0" applyNumberFormat="1" applyFill="1" applyBorder="1"/>
    <xf numFmtId="0" fontId="9" fillId="9" borderId="15" xfId="0" applyFont="1" applyFill="1" applyBorder="1"/>
    <xf numFmtId="0" fontId="0" fillId="9" borderId="16" xfId="0" applyFill="1" applyBorder="1"/>
    <xf numFmtId="0" fontId="0" fillId="9" borderId="21" xfId="0" applyFill="1" applyBorder="1"/>
    <xf numFmtId="0" fontId="18" fillId="9" borderId="0" xfId="0" applyFont="1" applyFill="1"/>
    <xf numFmtId="0" fontId="19" fillId="6" borderId="0" xfId="0" applyFont="1" applyFill="1"/>
    <xf numFmtId="0" fontId="18" fillId="11" borderId="0" xfId="0" applyFont="1" applyFill="1"/>
    <xf numFmtId="0" fontId="20" fillId="0" borderId="0" xfId="0" applyFont="1"/>
    <xf numFmtId="0" fontId="2" fillId="11" borderId="15" xfId="0" applyFont="1" applyFill="1" applyBorder="1"/>
    <xf numFmtId="0" fontId="9" fillId="11" borderId="16" xfId="0" applyFont="1" applyFill="1" applyBorder="1"/>
    <xf numFmtId="0" fontId="0" fillId="11" borderId="21" xfId="0" applyFill="1" applyBorder="1"/>
    <xf numFmtId="0" fontId="0" fillId="4" borderId="16" xfId="0" applyNumberFormat="1" applyFill="1" applyBorder="1"/>
    <xf numFmtId="0" fontId="0" fillId="4" borderId="17" xfId="0" applyNumberFormat="1" applyFill="1" applyBorder="1"/>
    <xf numFmtId="0" fontId="0" fillId="4" borderId="21" xfId="0" applyNumberFormat="1" applyFill="1" applyBorder="1"/>
    <xf numFmtId="0" fontId="0" fillId="4" borderId="22" xfId="0" applyNumberFormat="1" applyFill="1" applyBorder="1"/>
    <xf numFmtId="0" fontId="9" fillId="6" borderId="16" xfId="0" applyFont="1" applyFill="1" applyBorder="1"/>
    <xf numFmtId="2" fontId="9" fillId="6" borderId="16" xfId="0" applyNumberFormat="1" applyFont="1" applyFill="1" applyBorder="1"/>
    <xf numFmtId="2" fontId="9" fillId="6" borderId="17" xfId="0" applyNumberFormat="1" applyFont="1" applyFill="1" applyBorder="1"/>
    <xf numFmtId="0" fontId="0" fillId="4" borderId="15" xfId="0" applyNumberFormat="1" applyFill="1" applyBorder="1"/>
    <xf numFmtId="0" fontId="0" fillId="4" borderId="20" xfId="0" applyNumberFormat="1" applyFill="1" applyBorder="1"/>
    <xf numFmtId="0" fontId="21" fillId="6" borderId="0" xfId="0" applyFont="1" applyFill="1"/>
    <xf numFmtId="0" fontId="2" fillId="8" borderId="15" xfId="0" applyFont="1" applyFill="1" applyBorder="1"/>
    <xf numFmtId="0" fontId="0" fillId="8" borderId="17" xfId="0" applyFill="1" applyBorder="1"/>
    <xf numFmtId="0" fontId="2" fillId="8" borderId="18" xfId="0" applyFont="1" applyFill="1" applyBorder="1"/>
    <xf numFmtId="0" fontId="2" fillId="8" borderId="20" xfId="0" applyFont="1" applyFill="1" applyBorder="1"/>
    <xf numFmtId="2" fontId="0" fillId="9" borderId="16" xfId="0" applyNumberFormat="1" applyFill="1" applyBorder="1"/>
    <xf numFmtId="0" fontId="2" fillId="9" borderId="16" xfId="0" applyFont="1" applyFill="1" applyBorder="1"/>
    <xf numFmtId="0" fontId="9" fillId="9" borderId="16" xfId="0" applyFont="1" applyFill="1" applyBorder="1"/>
    <xf numFmtId="0" fontId="2" fillId="9" borderId="17" xfId="0" applyFont="1" applyFill="1" applyBorder="1"/>
    <xf numFmtId="0" fontId="0" fillId="8" borderId="18" xfId="0" applyFill="1" applyBorder="1"/>
    <xf numFmtId="0" fontId="0" fillId="8" borderId="20" xfId="0" applyFill="1" applyBorder="1"/>
    <xf numFmtId="1" fontId="0" fillId="8" borderId="21" xfId="0" applyNumberFormat="1" applyFill="1" applyBorder="1"/>
    <xf numFmtId="0" fontId="9" fillId="11" borderId="0" xfId="0" applyFont="1" applyFill="1"/>
    <xf numFmtId="2" fontId="0" fillId="8" borderId="21" xfId="0" applyNumberFormat="1" applyFill="1" applyBorder="1"/>
    <xf numFmtId="0" fontId="0" fillId="8" borderId="16" xfId="0" applyFill="1" applyBorder="1"/>
    <xf numFmtId="164" fontId="0" fillId="8" borderId="0" xfId="0" applyNumberFormat="1" applyFill="1" applyBorder="1"/>
    <xf numFmtId="0" fontId="0" fillId="9" borderId="15" xfId="0" applyFill="1" applyBorder="1"/>
    <xf numFmtId="0" fontId="2" fillId="9" borderId="0" xfId="0" applyFont="1" applyFill="1" applyBorder="1"/>
    <xf numFmtId="0" fontId="2" fillId="9" borderId="18" xfId="0" applyFont="1" applyFill="1" applyBorder="1"/>
    <xf numFmtId="0" fontId="0" fillId="9" borderId="0" xfId="0" applyFill="1" applyBorder="1"/>
    <xf numFmtId="0" fontId="0" fillId="9" borderId="20" xfId="0" applyFill="1" applyBorder="1"/>
    <xf numFmtId="0" fontId="2" fillId="9" borderId="15" xfId="0" applyFont="1" applyFill="1" applyBorder="1"/>
    <xf numFmtId="166" fontId="0" fillId="0" borderId="0" xfId="0" applyNumberFormat="1" applyBorder="1"/>
    <xf numFmtId="166" fontId="0" fillId="0" borderId="19" xfId="0" applyNumberFormat="1" applyBorder="1"/>
    <xf numFmtId="1" fontId="0" fillId="8" borderId="17" xfId="0" applyNumberFormat="1" applyFill="1" applyBorder="1"/>
    <xf numFmtId="0" fontId="9" fillId="6" borderId="20" xfId="0" applyNumberFormat="1" applyFont="1" applyFill="1" applyBorder="1"/>
    <xf numFmtId="0" fontId="22" fillId="0" borderId="0" xfId="0" applyFont="1"/>
    <xf numFmtId="1" fontId="2" fillId="0" borderId="0" xfId="0" applyNumberFormat="1" applyFont="1"/>
    <xf numFmtId="167" fontId="0" fillId="0" borderId="0" xfId="0" applyNumberFormat="1"/>
    <xf numFmtId="0" fontId="0" fillId="0" borderId="0" xfId="0" applyProtection="1"/>
    <xf numFmtId="167" fontId="0" fillId="0" borderId="0" xfId="0" applyNumberFormat="1" applyAlignment="1">
      <alignment horizontal="right"/>
    </xf>
    <xf numFmtId="0" fontId="0" fillId="0" borderId="33" xfId="0" applyBorder="1" applyAlignment="1" applyProtection="1">
      <alignment horizontal="center"/>
    </xf>
    <xf numFmtId="0" fontId="0" fillId="0" borderId="33" xfId="0" applyBorder="1"/>
    <xf numFmtId="3" fontId="0" fillId="0" borderId="33" xfId="0" applyNumberFormat="1" applyBorder="1" applyAlignment="1">
      <alignment horizontal="center"/>
    </xf>
    <xf numFmtId="3" fontId="0" fillId="0" borderId="33" xfId="0" applyNumberForma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7" fontId="0" fillId="0" borderId="0" xfId="0" applyNumberFormat="1" applyFill="1" applyAlignment="1">
      <alignment horizontal="right"/>
    </xf>
    <xf numFmtId="0" fontId="0" fillId="6" borderId="34" xfId="0" applyFill="1" applyBorder="1"/>
    <xf numFmtId="0" fontId="2" fillId="8" borderId="6" xfId="0" applyFont="1" applyFill="1" applyBorder="1"/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24" fillId="0" borderId="0" xfId="0" applyFont="1" applyFill="1" applyAlignment="1"/>
    <xf numFmtId="167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 applyProtection="1">
      <alignment horizontal="center"/>
    </xf>
    <xf numFmtId="0" fontId="0" fillId="12" borderId="16" xfId="0" applyFill="1" applyBorder="1" applyAlignment="1">
      <alignment horizontal="center"/>
    </xf>
    <xf numFmtId="2" fontId="0" fillId="12" borderId="17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2" fontId="0" fillId="12" borderId="19" xfId="0" applyNumberForma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2" fontId="0" fillId="12" borderId="22" xfId="0" applyNumberFormat="1" applyFill="1" applyBorder="1" applyAlignment="1">
      <alignment horizontal="center"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13" borderId="19" xfId="0" applyFill="1" applyBorder="1" applyAlignment="1" applyProtection="1">
      <alignment horizontal="center" vertical="center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  <xf numFmtId="0" fontId="0" fillId="13" borderId="26" xfId="0" applyFill="1" applyBorder="1" applyAlignment="1" applyProtection="1">
      <alignment horizontal="center" vertical="center"/>
      <protection locked="0"/>
    </xf>
    <xf numFmtId="0" fontId="0" fillId="13" borderId="16" xfId="0" applyFill="1" applyBorder="1" applyProtection="1">
      <protection locked="0"/>
    </xf>
    <xf numFmtId="0" fontId="0" fillId="13" borderId="0" xfId="0" applyFill="1" applyBorder="1" applyProtection="1">
      <protection locked="0"/>
    </xf>
    <xf numFmtId="0" fontId="2" fillId="13" borderId="0" xfId="0" applyFont="1" applyFill="1" applyBorder="1" applyProtection="1">
      <protection locked="0"/>
    </xf>
    <xf numFmtId="0" fontId="25" fillId="0" borderId="0" xfId="0" applyFont="1"/>
    <xf numFmtId="0" fontId="26" fillId="0" borderId="0" xfId="0" applyFont="1" applyFill="1" applyAlignment="1">
      <alignment horizontal="center"/>
    </xf>
    <xf numFmtId="0" fontId="0" fillId="12" borderId="16" xfId="0" applyNumberFormat="1" applyFill="1" applyBorder="1" applyAlignment="1">
      <alignment horizontal="center"/>
    </xf>
    <xf numFmtId="0" fontId="0" fillId="12" borderId="17" xfId="0" applyNumberFormat="1" applyFill="1" applyBorder="1" applyAlignment="1">
      <alignment horizontal="center"/>
    </xf>
    <xf numFmtId="0" fontId="0" fillId="12" borderId="20" xfId="0" applyNumberFormat="1" applyFill="1" applyBorder="1" applyAlignment="1">
      <alignment horizontal="center"/>
    </xf>
    <xf numFmtId="0" fontId="0" fillId="12" borderId="21" xfId="0" applyNumberFormat="1" applyFill="1" applyBorder="1" applyAlignment="1">
      <alignment horizontal="center"/>
    </xf>
    <xf numFmtId="0" fontId="0" fillId="12" borderId="22" xfId="0" applyNumberForma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33" xfId="0" applyFont="1" applyFill="1" applyBorder="1"/>
    <xf numFmtId="0" fontId="2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4" fontId="9" fillId="13" borderId="33" xfId="0" applyNumberFormat="1" applyFont="1" applyFill="1" applyBorder="1" applyAlignment="1" applyProtection="1">
      <alignment horizontal="center"/>
      <protection locked="0"/>
    </xf>
    <xf numFmtId="167" fontId="0" fillId="0" borderId="33" xfId="0" applyNumberFormat="1" applyBorder="1"/>
    <xf numFmtId="4" fontId="0" fillId="0" borderId="33" xfId="0" applyNumberFormat="1" applyFill="1" applyBorder="1" applyAlignment="1">
      <alignment horizontal="center"/>
    </xf>
    <xf numFmtId="4" fontId="0" fillId="0" borderId="33" xfId="0" applyNumberFormat="1" applyFill="1" applyBorder="1"/>
    <xf numFmtId="0" fontId="2" fillId="0" borderId="33" xfId="0" applyFont="1" applyFill="1" applyBorder="1" applyAlignment="1" applyProtection="1">
      <alignment horizontal="center"/>
    </xf>
    <xf numFmtId="165" fontId="0" fillId="12" borderId="33" xfId="0" applyNumberFormat="1" applyFill="1" applyBorder="1"/>
    <xf numFmtId="3" fontId="0" fillId="0" borderId="0" xfId="0" applyNumberFormat="1" applyBorder="1" applyAlignment="1" applyProtection="1">
      <alignment horizontal="center"/>
    </xf>
    <xf numFmtId="0" fontId="0" fillId="6" borderId="33" xfId="0" applyFill="1" applyBorder="1"/>
    <xf numFmtId="0" fontId="9" fillId="6" borderId="33" xfId="0" applyFont="1" applyFill="1" applyBorder="1"/>
    <xf numFmtId="0" fontId="2" fillId="12" borderId="33" xfId="0" applyFont="1" applyFill="1" applyBorder="1" applyAlignment="1">
      <alignment horizontal="center"/>
    </xf>
    <xf numFmtId="0" fontId="2" fillId="13" borderId="33" xfId="0" applyFont="1" applyFill="1" applyBorder="1" applyAlignment="1" applyProtection="1">
      <alignment horizontal="center"/>
      <protection locked="0"/>
    </xf>
    <xf numFmtId="0" fontId="0" fillId="12" borderId="33" xfId="0" applyFill="1" applyBorder="1" applyAlignment="1">
      <alignment horizontal="center"/>
    </xf>
    <xf numFmtId="0" fontId="0" fillId="13" borderId="33" xfId="0" applyFont="1" applyFill="1" applyBorder="1" applyAlignment="1" applyProtection="1">
      <alignment horizontal="center"/>
      <protection locked="0"/>
    </xf>
    <xf numFmtId="0" fontId="10" fillId="12" borderId="33" xfId="0" applyFont="1" applyFill="1" applyBorder="1" applyAlignment="1">
      <alignment horizontal="center"/>
    </xf>
    <xf numFmtId="3" fontId="9" fillId="13" borderId="3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/>
    <xf numFmtId="0" fontId="29" fillId="0" borderId="0" xfId="0" applyFont="1" applyFill="1" applyAlignment="1">
      <alignment horizontal="center" vertical="top"/>
    </xf>
    <xf numFmtId="0" fontId="0" fillId="4" borderId="0" xfId="0" applyFill="1" applyBorder="1"/>
    <xf numFmtId="165" fontId="0" fillId="4" borderId="0" xfId="0" applyNumberFormat="1" applyFill="1" applyBorder="1"/>
    <xf numFmtId="0" fontId="0" fillId="4" borderId="0" xfId="0" applyFill="1"/>
    <xf numFmtId="1" fontId="0" fillId="0" borderId="0" xfId="0" applyNumberForma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0" fillId="0" borderId="19" xfId="0" applyNumberFormat="1" applyFill="1" applyBorder="1"/>
    <xf numFmtId="2" fontId="0" fillId="0" borderId="21" xfId="0" applyNumberFormat="1" applyFill="1" applyBorder="1"/>
    <xf numFmtId="2" fontId="2" fillId="0" borderId="21" xfId="0" applyNumberFormat="1" applyFont="1" applyFill="1" applyBorder="1"/>
    <xf numFmtId="2" fontId="0" fillId="0" borderId="22" xfId="0" applyNumberFormat="1" applyFill="1" applyBorder="1"/>
    <xf numFmtId="0" fontId="2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2" fillId="12" borderId="33" xfId="0" applyNumberFormat="1" applyFont="1" applyFill="1" applyBorder="1" applyAlignment="1" applyProtection="1">
      <alignment horizontal="center"/>
    </xf>
    <xf numFmtId="165" fontId="0" fillId="12" borderId="33" xfId="0" applyNumberFormat="1" applyFill="1" applyBorder="1" applyAlignment="1" applyProtection="1">
      <alignment horizontal="center"/>
    </xf>
    <xf numFmtId="165" fontId="2" fillId="12" borderId="33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12" borderId="15" xfId="0" applyNumberFormat="1" applyFill="1" applyBorder="1" applyAlignment="1">
      <alignment horizontal="center"/>
    </xf>
    <xf numFmtId="0" fontId="23" fillId="0" borderId="19" xfId="0" applyFont="1" applyBorder="1" applyAlignment="1">
      <alignment horizontal="center" textRotation="255"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7" xfId="0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6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4">
    <dxf>
      <fill>
        <patternFill>
          <fgColor auto="1"/>
          <bgColor rgb="FFB6D02E"/>
        </patternFill>
      </fill>
    </dxf>
    <dxf>
      <fill>
        <patternFill>
          <bgColor rgb="FFC75A1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89E1B"/>
      <color rgb="FFC75A11"/>
      <color rgb="FFB6D02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Relationship Id="rId9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6" Type="http://schemas.openxmlformats.org/officeDocument/2006/relationships/image" Target="../media/image23.emf"/><Relationship Id="rId5" Type="http://schemas.openxmlformats.org/officeDocument/2006/relationships/image" Target="../media/image22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152400</xdr:rowOff>
    </xdr:from>
    <xdr:to>
      <xdr:col>13</xdr:col>
      <xdr:colOff>438150</xdr:colOff>
      <xdr:row>36</xdr:row>
      <xdr:rowOff>43040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52400"/>
          <a:ext cx="2695575" cy="5700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19050</xdr:rowOff>
    </xdr:from>
    <xdr:to>
      <xdr:col>8</xdr:col>
      <xdr:colOff>1951869</xdr:colOff>
      <xdr:row>8</xdr:row>
      <xdr:rowOff>84584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9050"/>
          <a:ext cx="3005334" cy="1170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0</xdr:rowOff>
    </xdr:from>
    <xdr:to>
      <xdr:col>11</xdr:col>
      <xdr:colOff>424059</xdr:colOff>
      <xdr:row>7</xdr:row>
      <xdr:rowOff>36959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0"/>
          <a:ext cx="3005334" cy="11704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209549</xdr:colOff>
      <xdr:row>53</xdr:row>
      <xdr:rowOff>28575</xdr:rowOff>
    </xdr:from>
    <xdr:ext cx="2028825" cy="5666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vak 1"/>
            <xdr:cNvSpPr txBox="1"/>
          </xdr:nvSpPr>
          <xdr:spPr>
            <a:xfrm>
              <a:off x="2190749" y="8839200"/>
              <a:ext cx="2028825" cy="5666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l-BE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nl-BE" sz="1100" b="0" i="1">
                            <a:latin typeface="Cambria Math"/>
                            <a:ea typeface="Cambria Math"/>
                          </a:rPr>
                          <m:t>𝐿</m:t>
                        </m:r>
                      </m:e>
                      <m:sub>
                        <m:r>
                          <a:rPr lang="nl-BE" sz="1100" b="0" i="1">
                            <a:latin typeface="Cambria Math"/>
                            <a:ea typeface="Cambria Math"/>
                          </a:rPr>
                          <m:t>𝑘</m:t>
                        </m:r>
                      </m:sub>
                    </m:sSub>
                    <m:r>
                      <a:rPr lang="nl-BE" sz="1100" b="0" i="1">
                        <a:latin typeface="Cambria Math"/>
                        <a:ea typeface="Cambria Math"/>
                      </a:rPr>
                      <m:t>=2</m:t>
                    </m:r>
                    <m:r>
                      <a:rPr lang="nl-BE" sz="1100" b="0" i="1">
                        <a:latin typeface="Cambria Math"/>
                        <a:ea typeface="Cambria Math"/>
                      </a:rPr>
                      <m:t>𝑙</m:t>
                    </m:r>
                    <m:r>
                      <a:rPr lang="nl-BE" sz="1100" b="0" i="1">
                        <a:latin typeface="Cambria Math"/>
                        <a:ea typeface="Cambria Math"/>
                      </a:rPr>
                      <m:t>∗√</m:t>
                    </m:r>
                    <m:f>
                      <m:fPr>
                        <m:ctrlPr>
                          <a:rPr lang="nl-BE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nl-BE" sz="1100" b="0" i="1">
                            <a:latin typeface="Cambria Math"/>
                            <a:ea typeface="Cambria Math"/>
                          </a:rPr>
                          <m:t>1+2,18∗</m:t>
                        </m:r>
                        <m:f>
                          <m:fPr>
                            <m:ctrlPr>
                              <a:rPr lang="nl-BE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nl-BE" sz="1100" b="0" i="1">
                                    <a:latin typeface="Cambria Math"/>
                                    <a:ea typeface="Cambria Math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</m:num>
                      <m:den>
                        <m:r>
                          <a:rPr lang="nl-BE" sz="1100" b="0" i="1">
                            <a:latin typeface="Cambria Math"/>
                            <a:ea typeface="Cambria Math"/>
                          </a:rPr>
                          <m:t>3,18</m:t>
                        </m:r>
                      </m:den>
                    </m:f>
                  </m:oMath>
                </m:oMathPara>
              </a14:m>
              <a:endParaRPr lang="nl-BE" sz="1100"/>
            </a:p>
          </xdr:txBody>
        </xdr:sp>
      </mc:Choice>
      <mc:Fallback xmlns="">
        <xdr:sp macro="" textlink="">
          <xdr:nvSpPr>
            <xdr:cNvPr id="2" name="Tekstvak 1"/>
            <xdr:cNvSpPr txBox="1"/>
          </xdr:nvSpPr>
          <xdr:spPr>
            <a:xfrm>
              <a:off x="2190749" y="8839200"/>
              <a:ext cx="2028825" cy="5666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l-BE" sz="1100" b="0" i="0">
                  <a:latin typeface="Cambria Math"/>
                  <a:ea typeface="Cambria Math"/>
                </a:rPr>
                <a:t>𝐿_𝑘=2𝑙∗√(1+2,18∗𝐻_0/𝐻_1 )/3,18</a:t>
              </a:r>
              <a:endParaRPr lang="nl-BE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74</xdr:row>
      <xdr:rowOff>66675</xdr:rowOff>
    </xdr:from>
    <xdr:to>
      <xdr:col>3</xdr:col>
      <xdr:colOff>800100</xdr:colOff>
      <xdr:row>78</xdr:row>
      <xdr:rowOff>151342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249150"/>
          <a:ext cx="581025" cy="741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647700</xdr:colOff>
          <xdr:row>161</xdr:row>
          <xdr:rowOff>121920</xdr:rowOff>
        </xdr:from>
        <xdr:to>
          <xdr:col>6</xdr:col>
          <xdr:colOff>259080</xdr:colOff>
          <xdr:row>166</xdr:row>
          <xdr:rowOff>38100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731520</xdr:colOff>
          <xdr:row>167</xdr:row>
          <xdr:rowOff>106680</xdr:rowOff>
        </xdr:from>
        <xdr:to>
          <xdr:col>6</xdr:col>
          <xdr:colOff>297180</xdr:colOff>
          <xdr:row>171</xdr:row>
          <xdr:rowOff>114300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168</xdr:row>
          <xdr:rowOff>152400</xdr:rowOff>
        </xdr:from>
        <xdr:to>
          <xdr:col>9</xdr:col>
          <xdr:colOff>137160</xdr:colOff>
          <xdr:row>170</xdr:row>
          <xdr:rowOff>68580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76</xdr:row>
          <xdr:rowOff>38100</xdr:rowOff>
        </xdr:from>
        <xdr:to>
          <xdr:col>2</xdr:col>
          <xdr:colOff>1874520</xdr:colOff>
          <xdr:row>79</xdr:row>
          <xdr:rowOff>68580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723900</xdr:colOff>
          <xdr:row>106</xdr:row>
          <xdr:rowOff>22860</xdr:rowOff>
        </xdr:from>
        <xdr:to>
          <xdr:col>3</xdr:col>
          <xdr:colOff>266700</xdr:colOff>
          <xdr:row>109</xdr:row>
          <xdr:rowOff>99060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</xdr:colOff>
      <xdr:row>8</xdr:row>
      <xdr:rowOff>146050</xdr:rowOff>
    </xdr:from>
    <xdr:to>
      <xdr:col>10</xdr:col>
      <xdr:colOff>538495</xdr:colOff>
      <xdr:row>43</xdr:row>
      <xdr:rowOff>67634</xdr:rowOff>
    </xdr:to>
    <xdr:grpSp>
      <xdr:nvGrpSpPr>
        <xdr:cNvPr id="23" name="Groep 22"/>
        <xdr:cNvGrpSpPr/>
      </xdr:nvGrpSpPr>
      <xdr:grpSpPr>
        <a:xfrm>
          <a:off x="7962265" y="1662430"/>
          <a:ext cx="1697370" cy="5788984"/>
          <a:chOff x="4619625" y="971550"/>
          <a:chExt cx="1691435" cy="5578908"/>
        </a:xfrm>
      </xdr:grpSpPr>
      <xdr:grpSp>
        <xdr:nvGrpSpPr>
          <xdr:cNvPr id="4" name="Groep 3"/>
          <xdr:cNvGrpSpPr/>
        </xdr:nvGrpSpPr>
        <xdr:grpSpPr>
          <a:xfrm>
            <a:off x="4914899" y="971550"/>
            <a:ext cx="1287969" cy="5203646"/>
            <a:chOff x="5067299" y="152400"/>
            <a:chExt cx="1577949" cy="6375221"/>
          </a:xfrm>
        </xdr:grpSpPr>
        <xdr:pic>
          <xdr:nvPicPr>
            <xdr:cNvPr id="2" name="Afbeelding 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067299" y="152400"/>
              <a:ext cx="1552575" cy="6375221"/>
            </a:xfrm>
            <a:prstGeom prst="rect">
              <a:avLst/>
            </a:prstGeom>
          </xdr:spPr>
        </xdr:pic>
        <xdr:sp macro="" textlink="">
          <xdr:nvSpPr>
            <xdr:cNvPr id="3" name="PIJL-LINKS en -RECHTS 2"/>
            <xdr:cNvSpPr/>
          </xdr:nvSpPr>
          <xdr:spPr>
            <a:xfrm rot="16200000">
              <a:off x="4529139" y="5557834"/>
              <a:ext cx="1266824" cy="133353"/>
            </a:xfrm>
            <a:prstGeom prst="leftRightArrow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  <xdr:sp macro="" textlink="">
          <xdr:nvSpPr>
            <xdr:cNvPr id="5" name="PIJL-LINKS en -RECHTS 4"/>
            <xdr:cNvSpPr/>
          </xdr:nvSpPr>
          <xdr:spPr>
            <a:xfrm>
              <a:off x="5324478" y="6410326"/>
              <a:ext cx="781048" cy="104774"/>
            </a:xfrm>
            <a:prstGeom prst="leftRightArrow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  <xdr:sp macro="" textlink="">
          <xdr:nvSpPr>
            <xdr:cNvPr id="6" name="PIJL-LINKS en -RECHTS 5"/>
            <xdr:cNvSpPr/>
          </xdr:nvSpPr>
          <xdr:spPr>
            <a:xfrm rot="18900875">
              <a:off x="6169526" y="6189804"/>
              <a:ext cx="475722" cy="98251"/>
            </a:xfrm>
            <a:prstGeom prst="leftRightArrow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BE" sz="1100"/>
            </a:p>
          </xdr:txBody>
        </xdr:sp>
      </xdr:grpSp>
      <xdr:sp macro="" textlink="">
        <xdr:nvSpPr>
          <xdr:cNvPr id="7" name="Tekstvak 6"/>
          <xdr:cNvSpPr txBox="1"/>
        </xdr:nvSpPr>
        <xdr:spPr>
          <a:xfrm>
            <a:off x="4619625" y="5172075"/>
            <a:ext cx="408382" cy="5306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BE" sz="2800"/>
              <a:t>H</a:t>
            </a:r>
            <a:endParaRPr lang="nl-BE" sz="3200"/>
          </a:p>
        </xdr:txBody>
      </xdr:sp>
      <xdr:sp macro="" textlink="">
        <xdr:nvSpPr>
          <xdr:cNvPr id="21" name="Tekstvak 20"/>
          <xdr:cNvSpPr txBox="1"/>
        </xdr:nvSpPr>
        <xdr:spPr>
          <a:xfrm>
            <a:off x="5219700" y="6019800"/>
            <a:ext cx="379976" cy="5306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BE" sz="2800"/>
              <a:t>B</a:t>
            </a:r>
            <a:endParaRPr lang="nl-BE" sz="3200"/>
          </a:p>
        </xdr:txBody>
      </xdr:sp>
      <xdr:sp macro="" textlink="">
        <xdr:nvSpPr>
          <xdr:cNvPr id="22" name="Tekstvak 21"/>
          <xdr:cNvSpPr txBox="1"/>
        </xdr:nvSpPr>
        <xdr:spPr>
          <a:xfrm>
            <a:off x="5943600" y="5810250"/>
            <a:ext cx="367460" cy="5306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nl-BE" sz="2800"/>
              <a:t>D</a:t>
            </a:r>
          </a:p>
        </xdr:txBody>
      </xdr:sp>
    </xdr:grpSp>
    <xdr:clientData/>
  </xdr:twoCellAnchor>
  <xdr:twoCellAnchor editAs="oneCell">
    <xdr:from>
      <xdr:col>5</xdr:col>
      <xdr:colOff>504825</xdr:colOff>
      <xdr:row>0</xdr:row>
      <xdr:rowOff>0</xdr:rowOff>
    </xdr:from>
    <xdr:to>
      <xdr:col>10</xdr:col>
      <xdr:colOff>462159</xdr:colOff>
      <xdr:row>6</xdr:row>
      <xdr:rowOff>198884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0"/>
          <a:ext cx="3005334" cy="11704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123825</xdr:rowOff>
        </xdr:from>
        <xdr:to>
          <xdr:col>6</xdr:col>
          <xdr:colOff>266700</xdr:colOff>
          <xdr:row>24</xdr:row>
          <xdr:rowOff>123825</xdr:rowOff>
        </xdr:to>
        <xdr:pic>
          <xdr:nvPicPr>
            <xdr:cNvPr id="30" name="Afbeelding 29"/>
            <xdr:cNvPicPr>
              <a:picLocks noChangeAspect="1" noChangeArrowheads="1"/>
              <a:extLst>
                <a:ext uri="{84589F7E-364E-4C9E-8A38-B11213B215E9}">
                  <a14:cameraTool cellRange="'Invoer en resultaten'!$A$18:$F$29" spid="_x0000_s168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066925"/>
              <a:ext cx="5819775" cy="1952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123825</xdr:rowOff>
        </xdr:from>
        <xdr:to>
          <xdr:col>6</xdr:col>
          <xdr:colOff>276225</xdr:colOff>
          <xdr:row>28</xdr:row>
          <xdr:rowOff>152400</xdr:rowOff>
        </xdr:to>
        <xdr:pic>
          <xdr:nvPicPr>
            <xdr:cNvPr id="31" name="Afbeelding 30"/>
            <xdr:cNvPicPr>
              <a:picLocks noChangeAspect="1" noChangeArrowheads="1"/>
              <a:extLst>
                <a:ext uri="{84589F7E-364E-4C9E-8A38-B11213B215E9}">
                  <a14:cameraTool cellRange="'Invoer en resultaten'!$A$12:$F$15" spid="_x0000_s168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019550"/>
              <a:ext cx="5829300" cy="676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6</xdr:col>
          <xdr:colOff>276225</xdr:colOff>
          <xdr:row>32</xdr:row>
          <xdr:rowOff>47625</xdr:rowOff>
        </xdr:to>
        <xdr:pic>
          <xdr:nvPicPr>
            <xdr:cNvPr id="32" name="Afbeelding 31"/>
            <xdr:cNvPicPr>
              <a:picLocks noChangeAspect="1" noChangeArrowheads="1"/>
              <a:extLst>
                <a:ext uri="{84589F7E-364E-4C9E-8A38-B11213B215E9}">
                  <a14:cameraTool cellRange="'Invoer en resultaten'!$A$32:$F$34" spid="_x0000_s168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724400"/>
              <a:ext cx="582930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11</xdr:row>
          <xdr:rowOff>57150</xdr:rowOff>
        </xdr:from>
        <xdr:to>
          <xdr:col>6</xdr:col>
          <xdr:colOff>266700</xdr:colOff>
          <xdr:row>12</xdr:row>
          <xdr:rowOff>53975</xdr:rowOff>
        </xdr:to>
        <xdr:pic>
          <xdr:nvPicPr>
            <xdr:cNvPr id="34" name="Afbeelding 33"/>
            <xdr:cNvPicPr>
              <a:picLocks noChangeAspect="1" noChangeArrowheads="1"/>
              <a:extLst>
                <a:ext uri="{84589F7E-364E-4C9E-8A38-B11213B215E9}">
                  <a14:cameraTool cellRange="Gegevens!$B$14:$C$14" spid="_x0000_s1686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057525" y="1838325"/>
              <a:ext cx="2762250" cy="15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10</xdr:row>
          <xdr:rowOff>47625</xdr:rowOff>
        </xdr:from>
        <xdr:to>
          <xdr:col>6</xdr:col>
          <xdr:colOff>266700</xdr:colOff>
          <xdr:row>11</xdr:row>
          <xdr:rowOff>44450</xdr:rowOff>
        </xdr:to>
        <xdr:pic>
          <xdr:nvPicPr>
            <xdr:cNvPr id="36" name="Afbeelding 35"/>
            <xdr:cNvPicPr>
              <a:picLocks noChangeAspect="1" noChangeArrowheads="1"/>
              <a:extLst>
                <a:ext uri="{84589F7E-364E-4C9E-8A38-B11213B215E9}">
                  <a14:cameraTool cellRange="Gegevens!$B$11:$C$11" spid="_x0000_s1686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057525" y="1666875"/>
              <a:ext cx="2762250" cy="15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95250</xdr:rowOff>
        </xdr:from>
        <xdr:to>
          <xdr:col>5</xdr:col>
          <xdr:colOff>76200</xdr:colOff>
          <xdr:row>36</xdr:row>
          <xdr:rowOff>95250</xdr:rowOff>
        </xdr:to>
        <xdr:pic>
          <xdr:nvPicPr>
            <xdr:cNvPr id="37" name="Afbeelding 36"/>
            <xdr:cNvPicPr>
              <a:picLocks noChangeAspect="1" noChangeArrowheads="1"/>
              <a:extLst>
                <a:ext uri="{84589F7E-364E-4C9E-8A38-B11213B215E9}">
                  <a14:cameraTool cellRange="Sokkelberekening!$A$10:$D$13" spid="_x0000_s1686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5286375"/>
              <a:ext cx="4867275" cy="647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133350</xdr:rowOff>
        </xdr:from>
        <xdr:to>
          <xdr:col>3</xdr:col>
          <xdr:colOff>590550</xdr:colOff>
          <xdr:row>37</xdr:row>
          <xdr:rowOff>133350</xdr:rowOff>
        </xdr:to>
        <xdr:pic>
          <xdr:nvPicPr>
            <xdr:cNvPr id="41" name="Afbeelding 40"/>
            <xdr:cNvPicPr>
              <a:picLocks noChangeAspect="1" noChangeArrowheads="1"/>
              <a:extLst>
                <a:ext uri="{84589F7E-364E-4C9E-8A38-B11213B215E9}">
                  <a14:cameraTool cellRange="Sokkelberekening!$A$26:$C$26" spid="_x0000_s1686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5972175"/>
              <a:ext cx="3810000" cy="161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38100</xdr:rowOff>
        </xdr:from>
        <xdr:to>
          <xdr:col>7</xdr:col>
          <xdr:colOff>371475</xdr:colOff>
          <xdr:row>43</xdr:row>
          <xdr:rowOff>47625</xdr:rowOff>
        </xdr:to>
        <xdr:pic>
          <xdr:nvPicPr>
            <xdr:cNvPr id="13" name="Afbeelding 12"/>
            <xdr:cNvPicPr>
              <a:picLocks noChangeAspect="1" noChangeArrowheads="1"/>
              <a:extLst>
                <a:ext uri="{84589F7E-364E-4C9E-8A38-B11213B215E9}">
                  <a14:cameraTool cellRange="Sokkelberekening!$A$36:$F$40" spid="_x0000_s16868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6200775"/>
              <a:ext cx="6534150" cy="819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7</xdr:col>
      <xdr:colOff>161925</xdr:colOff>
      <xdr:row>0</xdr:row>
      <xdr:rowOff>0</xdr:rowOff>
    </xdr:from>
    <xdr:to>
      <xdr:col>12</xdr:col>
      <xdr:colOff>119259</xdr:colOff>
      <xdr:row>7</xdr:row>
      <xdr:rowOff>36959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3005334" cy="117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8.e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5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6.emf"/><Relationship Id="rId1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C75A11"/>
  </sheetPr>
  <dimension ref="A1:I39"/>
  <sheetViews>
    <sheetView topLeftCell="A7" zoomScaleNormal="100" workbookViewId="0">
      <selection activeCell="C26" sqref="C26"/>
    </sheetView>
  </sheetViews>
  <sheetFormatPr defaultRowHeight="13.2" x14ac:dyDescent="0.25"/>
  <cols>
    <col min="1" max="1" width="15.6640625" customWidth="1"/>
    <col min="2" max="2" width="10.6640625" customWidth="1"/>
    <col min="3" max="3" width="24.6640625" customWidth="1"/>
    <col min="4" max="4" width="10.6640625" customWidth="1"/>
    <col min="5" max="5" width="14.6640625" customWidth="1"/>
    <col min="6" max="6" width="10.6640625" customWidth="1"/>
    <col min="9" max="9" width="57.109375" customWidth="1"/>
  </cols>
  <sheetData>
    <row r="1" spans="1:9" ht="9" customHeight="1" x14ac:dyDescent="0.95">
      <c r="A1" s="289" t="s">
        <v>352</v>
      </c>
      <c r="B1" s="289"/>
      <c r="C1" s="289"/>
      <c r="D1" s="289"/>
      <c r="E1" s="289"/>
      <c r="F1" s="289"/>
      <c r="G1" s="221"/>
    </row>
    <row r="2" spans="1:9" ht="9" customHeight="1" x14ac:dyDescent="0.95">
      <c r="A2" s="289"/>
      <c r="B2" s="289"/>
      <c r="C2" s="289"/>
      <c r="D2" s="289"/>
      <c r="E2" s="289"/>
      <c r="F2" s="289"/>
      <c r="G2" s="221"/>
    </row>
    <row r="3" spans="1:9" ht="9" customHeight="1" x14ac:dyDescent="0.95">
      <c r="A3" s="289"/>
      <c r="B3" s="289"/>
      <c r="C3" s="289"/>
      <c r="D3" s="289"/>
      <c r="E3" s="289"/>
      <c r="F3" s="289"/>
      <c r="G3" s="221"/>
    </row>
    <row r="4" spans="1:9" ht="9" customHeight="1" x14ac:dyDescent="0.95">
      <c r="A4" s="289"/>
      <c r="B4" s="289"/>
      <c r="C4" s="289"/>
      <c r="D4" s="289"/>
      <c r="E4" s="289"/>
      <c r="F4" s="289"/>
      <c r="G4" s="221"/>
    </row>
    <row r="5" spans="1:9" ht="9" customHeight="1" x14ac:dyDescent="0.95">
      <c r="A5" s="289"/>
      <c r="B5" s="289"/>
      <c r="C5" s="289"/>
      <c r="D5" s="289"/>
      <c r="E5" s="289"/>
      <c r="F5" s="289"/>
      <c r="G5" s="221"/>
    </row>
    <row r="6" spans="1:9" ht="12" customHeight="1" x14ac:dyDescent="0.95">
      <c r="A6" s="245"/>
      <c r="B6" s="245"/>
      <c r="C6" s="245"/>
      <c r="D6" s="245"/>
      <c r="E6" s="245"/>
      <c r="F6" s="245"/>
      <c r="G6" s="221"/>
    </row>
    <row r="7" spans="1:9" ht="15" customHeight="1" x14ac:dyDescent="0.95">
      <c r="A7" s="290" t="s">
        <v>387</v>
      </c>
      <c r="B7" s="290"/>
      <c r="C7" s="290"/>
      <c r="D7" s="290"/>
      <c r="E7" s="290"/>
      <c r="F7" s="290"/>
      <c r="G7" s="221"/>
    </row>
    <row r="8" spans="1:9" ht="15" customHeight="1" x14ac:dyDescent="0.95">
      <c r="A8" s="290" t="s">
        <v>362</v>
      </c>
      <c r="B8" s="290"/>
      <c r="C8" s="290"/>
      <c r="D8" s="290"/>
      <c r="E8" s="290"/>
      <c r="F8" s="290"/>
      <c r="G8" s="221"/>
    </row>
    <row r="9" spans="1:9" ht="15" customHeight="1" x14ac:dyDescent="0.95">
      <c r="A9" s="291" t="s">
        <v>363</v>
      </c>
      <c r="B9" s="291"/>
      <c r="C9" s="291"/>
      <c r="D9" s="291"/>
      <c r="E9" s="291"/>
      <c r="F9" s="291"/>
      <c r="G9" s="221"/>
    </row>
    <row r="10" spans="1:9" ht="13.8" x14ac:dyDescent="0.25">
      <c r="A10" s="291" t="s">
        <v>388</v>
      </c>
      <c r="B10" s="291"/>
      <c r="C10" s="291"/>
      <c r="D10" s="291"/>
      <c r="E10" s="291"/>
      <c r="F10" s="291"/>
    </row>
    <row r="11" spans="1:9" ht="13.8" x14ac:dyDescent="0.25">
      <c r="A11" s="268"/>
      <c r="B11" s="268"/>
      <c r="C11" s="268"/>
      <c r="D11" s="268"/>
      <c r="E11" s="268"/>
      <c r="F11" s="268"/>
    </row>
    <row r="12" spans="1:9" ht="13.8" thickBot="1" x14ac:dyDescent="0.3">
      <c r="C12" s="214" t="s">
        <v>361</v>
      </c>
      <c r="D12" s="214" t="s">
        <v>195</v>
      </c>
      <c r="E12" s="214" t="s">
        <v>201</v>
      </c>
      <c r="F12" s="214" t="s">
        <v>344</v>
      </c>
    </row>
    <row r="13" spans="1:9" x14ac:dyDescent="0.25">
      <c r="A13" s="214" t="s">
        <v>346</v>
      </c>
      <c r="B13" s="218" t="s">
        <v>154</v>
      </c>
      <c r="C13" s="215">
        <v>1</v>
      </c>
      <c r="D13" s="225" t="str">
        <f>IFERROR( IF(Gegevens!C22="Ja",IF(berekeningsprogramma!E194="VAKWERK", vakwerk,LARGE(berekeningsprogramma!D194:E194,1)),berekeningsprogramma!D3),"VAKWERK")</f>
        <v>VAKWERK</v>
      </c>
      <c r="E13" s="225" t="str">
        <f>IFERROR( berekeningsprogramma!E3, " ")</f>
        <v xml:space="preserve"> </v>
      </c>
      <c r="F13" s="226" t="str">
        <f>IFERROR( berekeningsprogramma!F3, " ")</f>
        <v xml:space="preserve"> </v>
      </c>
      <c r="G13" s="97" t="str">
        <f>IF(D13="vakwerk"," ",IF(Gegevens!C22="ja",berekeningsprogramma!G3," "))</f>
        <v xml:space="preserve"> </v>
      </c>
      <c r="H13" s="98" t="str">
        <f>IF(D13="vakwerk"," ",IF(Gegevens!C22="ja",berekeningsprogramma!H3," "))</f>
        <v xml:space="preserve"> </v>
      </c>
      <c r="I13" s="238" t="str">
        <f>IF(D13="vakwerk"," ",IF(D13&lt;90,"Botsvriendelijk","Niet botsvriendelijk"))</f>
        <v xml:space="preserve"> </v>
      </c>
    </row>
    <row r="14" spans="1:9" x14ac:dyDescent="0.25">
      <c r="A14" s="214" t="s">
        <v>347</v>
      </c>
      <c r="B14" s="219" t="s">
        <v>151</v>
      </c>
      <c r="C14" s="216">
        <v>2</v>
      </c>
      <c r="D14" s="227">
        <f>IFERROR( berekeningsprogramma!D4, "VAKWERK")</f>
        <v>114</v>
      </c>
      <c r="E14" s="227" t="str">
        <f>IFERROR( berekeningsprogramma!E4, " ")</f>
        <v>TDB3</v>
      </c>
      <c r="F14" s="228">
        <f>IFERROR( berekeningsprogramma!F4, " ")</f>
        <v>5.3117039436431623</v>
      </c>
      <c r="I14" s="238" t="str">
        <f>IF(D14="vakwerk"," ",IF(D14&gt;90,"Niet botsvriendelijk",IF(88&lt;D14,IF(MAX(F18,F22,F26)&lt;1500,"Niet botsvriendelijk","Botsvriendelijk"),"Botsvriendelijk")))</f>
        <v>Niet botsvriendelijk</v>
      </c>
    </row>
    <row r="15" spans="1:9" ht="13.8" thickBot="1" x14ac:dyDescent="0.3">
      <c r="A15" s="214" t="s">
        <v>348</v>
      </c>
      <c r="B15" s="220" t="s">
        <v>152</v>
      </c>
      <c r="C15" s="217">
        <v>3</v>
      </c>
      <c r="D15" s="229">
        <f>IFERROR( berekeningsprogramma!D5, "VAKWERK")</f>
        <v>114</v>
      </c>
      <c r="E15" s="229" t="str">
        <f>IFERROR( berekeningsprogramma!E5, " ")</f>
        <v>TDB2</v>
      </c>
      <c r="F15" s="230">
        <f>IFERROR( berekeningsprogramma!F5, " ")</f>
        <v>3.5411359624287746</v>
      </c>
      <c r="I15" s="238" t="str">
        <f>IF(D15="vakwerk"," ",IF(D15&gt;90,"Niet botsvriendelijk",IF(88&lt;D15,IF(MAX(F18,F22,F26)&lt;3000,"Niet botsvriendelijk","Botsvriendelijk"),"Botsvriendelijk")))</f>
        <v>Niet botsvriendelijk</v>
      </c>
    </row>
    <row r="17" spans="1:8" ht="13.8" thickBot="1" x14ac:dyDescent="0.3">
      <c r="C17" s="214" t="s">
        <v>351</v>
      </c>
      <c r="F17" s="214" t="s">
        <v>354</v>
      </c>
    </row>
    <row r="18" spans="1:8" x14ac:dyDescent="0.25">
      <c r="A18" s="287" t="s">
        <v>345</v>
      </c>
      <c r="B18" s="79" t="s">
        <v>159</v>
      </c>
      <c r="C18" s="235" t="s">
        <v>161</v>
      </c>
      <c r="D18" s="56"/>
      <c r="E18" s="56" t="str">
        <f>VLOOKUP(C18,'constanten Norm'!B72:C78,2,FALSE)</f>
        <v>Hor. Zijde B (mm):</v>
      </c>
      <c r="F18" s="231">
        <v>3500</v>
      </c>
    </row>
    <row r="19" spans="1:8" x14ac:dyDescent="0.25">
      <c r="A19" s="287"/>
      <c r="B19" s="62"/>
      <c r="C19" s="59"/>
      <c r="D19" s="59"/>
      <c r="E19" s="59" t="str">
        <f>IF(C18="rechthoek","ver.zijde H (mm):",IF(C18="driehoek","Zijde▼ (mm):"," "))</f>
        <v>ver.zijde H (mm):</v>
      </c>
      <c r="F19" s="232">
        <v>1000</v>
      </c>
    </row>
    <row r="20" spans="1:8" x14ac:dyDescent="0.25">
      <c r="A20" s="287"/>
      <c r="B20" s="62"/>
      <c r="C20" s="91" t="s">
        <v>369</v>
      </c>
      <c r="D20" s="92"/>
      <c r="E20" s="92"/>
      <c r="F20" s="233">
        <v>1000</v>
      </c>
    </row>
    <row r="21" spans="1:8" x14ac:dyDescent="0.25">
      <c r="A21" s="287"/>
      <c r="B21" s="212"/>
      <c r="C21" s="213" t="s">
        <v>370</v>
      </c>
      <c r="D21" s="95"/>
      <c r="E21" s="95"/>
      <c r="F21" s="234">
        <v>0</v>
      </c>
      <c r="H21" s="2"/>
    </row>
    <row r="22" spans="1:8" x14ac:dyDescent="0.25">
      <c r="A22" s="287"/>
      <c r="B22" s="80" t="s">
        <v>166</v>
      </c>
      <c r="C22" s="236" t="s">
        <v>160</v>
      </c>
      <c r="D22" s="59"/>
      <c r="E22" s="59" t="str">
        <f>VLOOKUP(C22,'constanten Norm'!B72:C78,2,FALSE)</f>
        <v>Diameter (mm) :</v>
      </c>
      <c r="F22" s="232">
        <v>1100</v>
      </c>
    </row>
    <row r="23" spans="1:8" x14ac:dyDescent="0.25">
      <c r="A23" s="287"/>
      <c r="B23" s="62"/>
      <c r="C23" s="59"/>
      <c r="D23" s="59"/>
      <c r="E23" s="59" t="str">
        <f>IF(C22="rechthoek","ver.zijde H (mm):",IF(C22="driehoek","Zijde▼ (mm):"," "))</f>
        <v xml:space="preserve"> </v>
      </c>
      <c r="F23" s="232"/>
    </row>
    <row r="24" spans="1:8" x14ac:dyDescent="0.25">
      <c r="A24" s="287"/>
      <c r="B24" s="62"/>
      <c r="C24" s="91" t="str">
        <f>IF(F22&gt;0,"Afstand tussen bord 1 en bord 2 = h2 (mm):"," ")</f>
        <v>Afstand tussen bord 1 en bord 2 = h2 (mm):</v>
      </c>
      <c r="D24" s="92"/>
      <c r="E24" s="92"/>
      <c r="F24" s="233">
        <v>30</v>
      </c>
    </row>
    <row r="25" spans="1:8" x14ac:dyDescent="0.25">
      <c r="A25" s="287"/>
      <c r="B25" s="212"/>
      <c r="C25" s="213" t="s">
        <v>371</v>
      </c>
      <c r="D25" s="95"/>
      <c r="E25" s="95"/>
      <c r="F25" s="234">
        <v>0</v>
      </c>
    </row>
    <row r="26" spans="1:8" x14ac:dyDescent="0.25">
      <c r="A26" s="287"/>
      <c r="B26" s="80" t="s">
        <v>172</v>
      </c>
      <c r="C26" s="237" t="s">
        <v>162</v>
      </c>
      <c r="D26" s="59"/>
      <c r="E26" s="59" t="str">
        <f>VLOOKUP(C26,'constanten Norm'!B72:C78,2,FALSE)</f>
        <v>Zijde▲ (mm):</v>
      </c>
      <c r="F26" s="232">
        <v>0</v>
      </c>
    </row>
    <row r="27" spans="1:8" x14ac:dyDescent="0.25">
      <c r="A27" s="287"/>
      <c r="B27" s="62"/>
      <c r="C27" s="59"/>
      <c r="D27" s="59"/>
      <c r="E27" s="59" t="str">
        <f>IF(C26="rechthoek","ver.zijde H (mm):",IF(C26="driehoek","Zijde▼ (mm):"," "))</f>
        <v>Zijde▼ (mm):</v>
      </c>
      <c r="F27" s="232">
        <v>0</v>
      </c>
    </row>
    <row r="28" spans="1:8" x14ac:dyDescent="0.25">
      <c r="A28" s="287"/>
      <c r="B28" s="62"/>
      <c r="C28" s="91" t="str">
        <f>IF(F26&gt;0,"Afstand tussen bord 2 en bord 3 =H3 (mm)"," ")</f>
        <v xml:space="preserve"> </v>
      </c>
      <c r="D28" s="92"/>
      <c r="E28" s="92"/>
      <c r="F28" s="233">
        <v>30</v>
      </c>
    </row>
    <row r="29" spans="1:8" ht="13.8" thickBot="1" x14ac:dyDescent="0.3">
      <c r="A29" s="287"/>
      <c r="B29" s="63"/>
      <c r="C29" s="93" t="s">
        <v>372</v>
      </c>
      <c r="D29" s="94"/>
      <c r="E29" s="94"/>
      <c r="F29" s="234">
        <v>0</v>
      </c>
    </row>
    <row r="31" spans="1:8" ht="13.8" thickBot="1" x14ac:dyDescent="0.3"/>
    <row r="32" spans="1:8" ht="13.8" thickBot="1" x14ac:dyDescent="0.3">
      <c r="A32" s="214" t="s">
        <v>349</v>
      </c>
      <c r="B32" s="79" t="str">
        <f>IF($D$13="vakwerk","keuzen van vakwerken"," ")</f>
        <v>keuzen van vakwerken</v>
      </c>
      <c r="C32" s="170"/>
      <c r="D32" s="171">
        <f>IF($D$13="vakwerk",Gegevens!C34," ")</f>
        <v>0.5</v>
      </c>
      <c r="E32" s="171">
        <f>IF($D$13="vakwerk",Gegevens!C35," ")</f>
        <v>0.75</v>
      </c>
      <c r="F32" s="172">
        <f>IF($D$13="vakwerk",Gegevens!C36," ")</f>
        <v>1</v>
      </c>
    </row>
    <row r="33" spans="1:9" x14ac:dyDescent="0.25">
      <c r="A33" s="214" t="s">
        <v>347</v>
      </c>
      <c r="B33" s="80"/>
      <c r="C33" s="90" t="str">
        <f>IF($D$13="vakwerk","2 palen"," ")</f>
        <v>2 palen</v>
      </c>
      <c r="D33" s="286" t="str">
        <f>IF($D$13="vakwerk",IF('vakwerk gegevens'!D172&gt;4,"mogelijk", "niet mogelijk ")," ")</f>
        <v>mogelijk</v>
      </c>
      <c r="E33" s="240" t="str">
        <f>IF($D$13="vakwerk",IF('vakwerk gegevens'!E172&gt;4,"mogelijk", "niet mogelijk")," ")</f>
        <v>mogelijk</v>
      </c>
      <c r="F33" s="241" t="str">
        <f>IF($D$13="vakwerk",IF('vakwerk gegevens'!F172&gt;4,"mogelijk", "niet mogelijk")," ")</f>
        <v>mogelijk</v>
      </c>
      <c r="I33" s="238" t="str">
        <f>IF(D13="vakwerk","Mate van botsvriendelijkheid in onderzoek"," ")</f>
        <v>Mate van botsvriendelijkheid in onderzoek</v>
      </c>
    </row>
    <row r="34" spans="1:9" ht="13.8" thickBot="1" x14ac:dyDescent="0.3">
      <c r="A34" s="214" t="s">
        <v>350</v>
      </c>
      <c r="B34" s="63"/>
      <c r="C34" s="101" t="str">
        <f>IF($D$13="vakwerk","3 palen"," ")</f>
        <v>3 palen</v>
      </c>
      <c r="D34" s="242" t="str">
        <f>IF(AND($D$13="vakwerk",'vakwerk gegevens'!D25&gt;3000),IF('vakwerk gegevens'!D173&gt;4,"mogelijk", "niet mogelijk")," ")</f>
        <v>mogelijk</v>
      </c>
      <c r="E34" s="243" t="str">
        <f>IF(AND($D$13="vakwerk",'vakwerk gegevens'!D25&gt;3000),IF('vakwerk gegevens'!E173&gt;4,"mogelijk", "niet mogelijk ")," ")</f>
        <v>mogelijk</v>
      </c>
      <c r="F34" s="244" t="str">
        <f>IF(AND($D$13="vakwerk",'vakwerk gegevens'!D25&gt;3000),IF('vakwerk gegevens'!F173&gt;4,"mogelijk", "niet mogelijk")," ")</f>
        <v>mogelijk</v>
      </c>
    </row>
    <row r="36" spans="1:9" x14ac:dyDescent="0.25">
      <c r="A36" s="288"/>
      <c r="B36" s="288"/>
      <c r="C36" s="288"/>
      <c r="D36" s="288"/>
      <c r="E36" s="288"/>
      <c r="F36" s="288"/>
    </row>
    <row r="37" spans="1:9" x14ac:dyDescent="0.25">
      <c r="A37" s="288"/>
      <c r="B37" s="288"/>
      <c r="C37" s="288"/>
      <c r="D37" s="288"/>
      <c r="E37" s="288"/>
      <c r="F37" s="288"/>
    </row>
    <row r="38" spans="1:9" x14ac:dyDescent="0.25">
      <c r="A38" s="2" t="s">
        <v>389</v>
      </c>
    </row>
    <row r="39" spans="1:9" x14ac:dyDescent="0.25">
      <c r="A39" s="2" t="s">
        <v>390</v>
      </c>
    </row>
  </sheetData>
  <sheetProtection password="CBEB" sheet="1" objects="1" scenarios="1" selectLockedCells="1"/>
  <dataConsolidate/>
  <mergeCells count="8">
    <mergeCell ref="A18:A29"/>
    <mergeCell ref="A36:F36"/>
    <mergeCell ref="A1:F5"/>
    <mergeCell ref="A37:F37"/>
    <mergeCell ref="A7:F7"/>
    <mergeCell ref="A9:F9"/>
    <mergeCell ref="A8:F8"/>
    <mergeCell ref="A10:F10"/>
  </mergeCells>
  <conditionalFormatting sqref="G13">
    <cfRule type="containsBlanks" dxfId="3" priority="1">
      <formula>LEN(TRIM(G13))=0</formula>
    </cfRule>
  </conditionalFormatting>
  <dataValidations xWindow="673" yWindow="405" count="11">
    <dataValidation allowBlank="1" showInputMessage="1" showErrorMessage="1" prompt="X-afstand : afstand van de dichtbijzijnde kantvan het bord tot de paal verbinding" sqref="C29"/>
    <dataValidation allowBlank="1" showInputMessage="1" showErrorMessage="1" prompt="Onderste bord" sqref="B18"/>
    <dataValidation allowBlank="1" showInputMessage="1" showErrorMessage="1" prompt="Hoogte tussen bord 1 en bord 2" sqref="C24"/>
    <dataValidation allowBlank="1" showInputMessage="1" showErrorMessage="1" prompt="Hoogte tussen bord 2 en bord 3" sqref="C28"/>
    <dataValidation allowBlank="1" showInputMessage="1" showErrorMessage="1" promptTitle="Afmeting" prompt="Geef hier de afmeting van bord1 in (mm)._x000a_" sqref="F18:F19"/>
    <dataValidation allowBlank="1" showInputMessage="1" showErrorMessage="1" promptTitle="Afmeting" prompt="Geef hier de afmeting van bord2 in (mm). _x000a_" sqref="F22:F23"/>
    <dataValidation allowBlank="1" showInputMessage="1" showErrorMessage="1" promptTitle="Afmeting" prompt="Geef hier de afmeting van bord3 in (mm). _x000a_" sqref="F26:F27"/>
    <dataValidation type="list" allowBlank="1" showInputMessage="1" showErrorMessage="1" promptTitle="Opstelhoogte" prompt="Geef hier de gewenste opstelhoogte van bord1 in._x000a__x000a_" sqref="F20">
      <formula1>"450,1000,1500,2100"</formula1>
    </dataValidation>
    <dataValidation allowBlank="1" showInputMessage="1" showErrorMessage="1" promptTitle="Tussenafstand" prompt="h2: afstand tussen bord1 en bord2 (mm)._x000a_" sqref="F24"/>
    <dataValidation allowBlank="1" showInputMessage="1" showErrorMessage="1" promptTitle="Tussenafstand" prompt="h3: afstand tussen bord2 en bord3 (mm)." sqref="F28"/>
    <dataValidation allowBlank="1" showInputMessage="1" showErrorMessage="1" promptTitle="Uitkraging" prompt="X1-afstand : afstand tussen het middelpunt van het bord en de paal (uitkraging naar rechts = positief / uitkraging naar links = negatief)" sqref="F21 F25 F29"/>
  </dataValidations>
  <pageMargins left="0.7" right="0.7" top="0.75" bottom="0.7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73" yWindow="405" count="3">
        <x14:dataValidation type="list" allowBlank="1" showInputMessage="1" showErrorMessage="1" promptTitle="Vorm" prompt="Geef de vorm van bord3 in.">
          <x14:formula1>
            <xm:f>'constanten Norm'!$B$73:$B$77</xm:f>
          </x14:formula1>
          <xm:sqref>C26</xm:sqref>
        </x14:dataValidation>
        <x14:dataValidation type="list" allowBlank="1" showInputMessage="1" showErrorMessage="1" promptTitle="Vorm" prompt="Geef de vorm van bord2 in.">
          <x14:formula1>
            <xm:f>'constanten Norm'!$B$73:$B$77</xm:f>
          </x14:formula1>
          <xm:sqref>C22</xm:sqref>
        </x14:dataValidation>
        <x14:dataValidation type="list" allowBlank="1" showInputMessage="1" showErrorMessage="1" promptTitle="Vorm" prompt="Geef de vorm van bord1 in.">
          <x14:formula1>
            <xm:f>'constanten Norm'!$B$73:$B$77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tabColor rgb="FFC75A11"/>
  </sheetPr>
  <dimension ref="A1:K46"/>
  <sheetViews>
    <sheetView showGridLines="0" showRowColHeaders="0" tabSelected="1" topLeftCell="A16" zoomScaleNormal="100" workbookViewId="0">
      <selection activeCell="H31" sqref="H31"/>
    </sheetView>
  </sheetViews>
  <sheetFormatPr defaultRowHeight="13.2" x14ac:dyDescent="0.25"/>
  <cols>
    <col min="1" max="1" width="14.88671875" customWidth="1"/>
    <col min="2" max="2" width="11.5546875" bestFit="1" customWidth="1"/>
    <col min="3" max="3" width="21.88671875" bestFit="1" customWidth="1"/>
    <col min="4" max="4" width="11.44140625" bestFit="1" customWidth="1"/>
    <col min="5" max="5" width="12.109375" customWidth="1"/>
    <col min="6" max="6" width="11.44140625" bestFit="1" customWidth="1"/>
  </cols>
  <sheetData>
    <row r="1" spans="1:11" x14ac:dyDescent="0.25">
      <c r="A1" s="302" t="s">
        <v>378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5">
      <c r="A3" s="299" t="s">
        <v>375</v>
      </c>
      <c r="B3" s="299"/>
      <c r="C3" s="300" t="s">
        <v>383</v>
      </c>
      <c r="D3" s="301"/>
      <c r="E3" s="301"/>
      <c r="F3" s="301"/>
      <c r="G3" s="301"/>
      <c r="H3" s="301"/>
      <c r="I3" s="301"/>
      <c r="J3" s="301"/>
    </row>
    <row r="4" spans="1:11" x14ac:dyDescent="0.25">
      <c r="A4" s="299" t="s">
        <v>376</v>
      </c>
      <c r="B4" s="299"/>
      <c r="C4" s="300" t="s">
        <v>384</v>
      </c>
      <c r="D4" s="301"/>
      <c r="E4" s="301"/>
      <c r="F4" s="301"/>
      <c r="G4" s="301"/>
      <c r="H4" s="301"/>
      <c r="I4" s="301"/>
      <c r="J4" s="246"/>
    </row>
    <row r="5" spans="1:11" x14ac:dyDescent="0.25">
      <c r="A5" s="298" t="s">
        <v>377</v>
      </c>
      <c r="B5" s="299"/>
      <c r="C5" s="248" t="s">
        <v>386</v>
      </c>
      <c r="D5" s="246"/>
      <c r="E5" s="246"/>
      <c r="F5" s="246"/>
      <c r="G5" s="246"/>
      <c r="H5" s="246"/>
      <c r="I5" s="246"/>
      <c r="J5" s="246"/>
    </row>
    <row r="6" spans="1:11" x14ac:dyDescent="0.25">
      <c r="A6" s="299" t="s">
        <v>374</v>
      </c>
      <c r="B6" s="299"/>
      <c r="C6" s="248" t="s">
        <v>385</v>
      </c>
      <c r="D6" s="246"/>
      <c r="E6" s="246"/>
      <c r="F6" s="246"/>
      <c r="G6" s="246"/>
      <c r="H6" s="246"/>
      <c r="I6" s="246"/>
      <c r="J6" s="246"/>
    </row>
    <row r="7" spans="1:11" x14ac:dyDescent="0.25">
      <c r="A7" s="298" t="s">
        <v>379</v>
      </c>
      <c r="B7" s="299"/>
      <c r="C7" s="247"/>
      <c r="D7" s="246"/>
      <c r="E7" s="246"/>
      <c r="F7" s="246"/>
      <c r="G7" s="246"/>
      <c r="H7" s="246"/>
      <c r="I7" s="246"/>
      <c r="J7" s="246"/>
    </row>
    <row r="8" spans="1:11" x14ac:dyDescent="0.25">
      <c r="A8" s="298" t="s">
        <v>380</v>
      </c>
      <c r="B8" s="299"/>
      <c r="C8" s="247"/>
      <c r="D8" s="246"/>
      <c r="E8" s="246"/>
      <c r="F8" s="246"/>
      <c r="G8" s="246"/>
      <c r="H8" s="246"/>
      <c r="I8" s="246"/>
      <c r="J8" s="246"/>
    </row>
    <row r="9" spans="1:11" x14ac:dyDescent="0.25">
      <c r="A9" s="298" t="s">
        <v>381</v>
      </c>
      <c r="B9" s="299"/>
      <c r="C9" s="247"/>
      <c r="D9" s="246"/>
      <c r="E9" s="246"/>
      <c r="F9" s="246"/>
      <c r="G9" s="246"/>
      <c r="H9" s="246"/>
      <c r="I9" s="246"/>
      <c r="J9" s="246"/>
    </row>
    <row r="10" spans="1:11" ht="12.75" customHeight="1" x14ac:dyDescent="0.25">
      <c r="A10" s="298" t="s">
        <v>382</v>
      </c>
      <c r="B10" s="299"/>
      <c r="C10" s="247"/>
      <c r="D10" s="246"/>
      <c r="E10" s="246"/>
      <c r="F10" s="246"/>
      <c r="G10" s="246"/>
      <c r="H10" s="246"/>
      <c r="I10" s="246"/>
      <c r="J10" s="246"/>
    </row>
    <row r="11" spans="1:11" ht="12.75" customHeight="1" x14ac:dyDescent="0.25"/>
    <row r="14" spans="1:11" ht="13.5" customHeight="1" x14ac:dyDescent="0.25"/>
    <row r="45" spans="1:1" x14ac:dyDescent="0.25">
      <c r="A45" s="2" t="s">
        <v>389</v>
      </c>
    </row>
    <row r="46" spans="1:1" x14ac:dyDescent="0.25">
      <c r="A46" s="2" t="s">
        <v>390</v>
      </c>
    </row>
  </sheetData>
  <sheetProtection password="CBEB" sheet="1" objects="1" scenarios="1"/>
  <mergeCells count="11">
    <mergeCell ref="A10:B10"/>
    <mergeCell ref="C4:I4"/>
    <mergeCell ref="A3:B3"/>
    <mergeCell ref="A4:B4"/>
    <mergeCell ref="A1:K2"/>
    <mergeCell ref="C3:J3"/>
    <mergeCell ref="A5:B5"/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tabColor rgb="FFC75A11"/>
  </sheetPr>
  <dimension ref="A3:G48"/>
  <sheetViews>
    <sheetView topLeftCell="A2" zoomScaleNormal="100" workbookViewId="0">
      <selection activeCell="C22" sqref="C22"/>
    </sheetView>
  </sheetViews>
  <sheetFormatPr defaultRowHeight="13.2" x14ac:dyDescent="0.25"/>
  <cols>
    <col min="1" max="1" width="15.6640625" customWidth="1"/>
    <col min="2" max="2" width="30.6640625" customWidth="1"/>
    <col min="3" max="3" width="10.6640625" customWidth="1"/>
    <col min="4" max="4" width="11" customWidth="1"/>
    <col min="5" max="5" width="10.88671875" customWidth="1"/>
  </cols>
  <sheetData>
    <row r="3" spans="1:7" ht="12.75" customHeight="1" x14ac:dyDescent="0.25">
      <c r="A3" s="292" t="s">
        <v>353</v>
      </c>
      <c r="B3" s="292"/>
      <c r="C3" s="292"/>
      <c r="D3" s="292"/>
      <c r="E3" s="292"/>
      <c r="F3" s="292"/>
      <c r="G3" s="292"/>
    </row>
    <row r="4" spans="1:7" x14ac:dyDescent="0.25">
      <c r="A4" s="292"/>
      <c r="B4" s="292"/>
      <c r="C4" s="292"/>
      <c r="D4" s="292"/>
      <c r="E4" s="292"/>
      <c r="F4" s="292"/>
      <c r="G4" s="292"/>
    </row>
    <row r="5" spans="1:7" x14ac:dyDescent="0.25">
      <c r="A5" s="292"/>
      <c r="B5" s="292"/>
      <c r="C5" s="292"/>
      <c r="D5" s="292"/>
      <c r="E5" s="292"/>
      <c r="F5" s="292"/>
      <c r="G5" s="292"/>
    </row>
    <row r="9" spans="1:7" ht="21" customHeight="1" x14ac:dyDescent="0.4">
      <c r="B9" s="175" t="s">
        <v>143</v>
      </c>
    </row>
    <row r="11" spans="1:7" x14ac:dyDescent="0.25">
      <c r="B11" s="249" t="s">
        <v>95</v>
      </c>
      <c r="C11" s="261">
        <f>IF(berekeningsprogramma!I43&gt;2,1.5,1.2)</f>
        <v>1.5</v>
      </c>
      <c r="D11" s="259"/>
      <c r="E11" s="259"/>
    </row>
    <row r="12" spans="1:7" ht="13.8" x14ac:dyDescent="0.3">
      <c r="B12" s="249" t="s">
        <v>90</v>
      </c>
      <c r="C12" s="261" t="s">
        <v>91</v>
      </c>
      <c r="D12" s="259">
        <f>VLOOKUP(C12,'constanten Norm'!B8:D9,2,TRUE)</f>
        <v>1.35</v>
      </c>
      <c r="E12" s="259"/>
    </row>
    <row r="13" spans="1:7" ht="13.8" x14ac:dyDescent="0.3">
      <c r="B13" s="249" t="s">
        <v>157</v>
      </c>
      <c r="C13" s="261" t="s">
        <v>85</v>
      </c>
      <c r="D13" s="259">
        <f>VLOOKUP(C13,'constanten Norm'!B13:C17,2,FALSE)</f>
        <v>1.05</v>
      </c>
      <c r="E13" s="259"/>
    </row>
    <row r="14" spans="1:7" x14ac:dyDescent="0.25">
      <c r="B14" s="249" t="s">
        <v>97</v>
      </c>
      <c r="C14" s="262" t="s">
        <v>102</v>
      </c>
      <c r="D14" s="259">
        <f>VLOOKUP(C14,'constanten Norm'!B20:C29,2,TRUE)</f>
        <v>900</v>
      </c>
      <c r="E14" s="249" t="s">
        <v>109</v>
      </c>
    </row>
    <row r="15" spans="1:7" x14ac:dyDescent="0.25">
      <c r="B15" s="249" t="s">
        <v>111</v>
      </c>
      <c r="C15" s="263" t="s">
        <v>113</v>
      </c>
      <c r="D15" s="259">
        <f>VLOOKUP(C15,'constanten Norm'!B35:C39,2,TRUE)</f>
        <v>1.5</v>
      </c>
      <c r="E15" s="249" t="s">
        <v>109</v>
      </c>
      <c r="F15" s="71" t="s">
        <v>155</v>
      </c>
      <c r="G15" s="22"/>
    </row>
    <row r="16" spans="1:7" x14ac:dyDescent="0.25">
      <c r="B16" s="249" t="s">
        <v>117</v>
      </c>
      <c r="C16" s="263" t="s">
        <v>121</v>
      </c>
      <c r="D16" s="259">
        <f>VLOOKUP(C16,'constanten Norm'!B42:C47,2,TRUE)</f>
        <v>0.3</v>
      </c>
      <c r="E16" s="249" t="s">
        <v>295</v>
      </c>
      <c r="F16" s="71"/>
      <c r="G16" s="22"/>
    </row>
    <row r="17" spans="2:7" x14ac:dyDescent="0.25">
      <c r="B17" s="249" t="s">
        <v>320</v>
      </c>
      <c r="C17" s="263" t="s">
        <v>132</v>
      </c>
      <c r="D17" s="259">
        <f>VLOOKUP(C17,'constanten Norm'!B55:C59,2,TRUE)</f>
        <v>50</v>
      </c>
      <c r="E17" s="249" t="s">
        <v>60</v>
      </c>
      <c r="F17" s="71"/>
      <c r="G17" s="22"/>
    </row>
    <row r="18" spans="2:7" ht="15.6" x14ac:dyDescent="0.35">
      <c r="B18" s="259" t="s">
        <v>339</v>
      </c>
      <c r="C18" s="263" t="s">
        <v>30</v>
      </c>
      <c r="D18" s="259">
        <v>235</v>
      </c>
      <c r="E18" s="259" t="s">
        <v>31</v>
      </c>
    </row>
    <row r="19" spans="2:7" x14ac:dyDescent="0.25">
      <c r="B19" s="249" t="s">
        <v>179</v>
      </c>
      <c r="C19" s="263" t="s">
        <v>46</v>
      </c>
      <c r="D19" s="259">
        <v>210000</v>
      </c>
      <c r="E19" s="259" t="s">
        <v>31</v>
      </c>
    </row>
    <row r="20" spans="2:7" x14ac:dyDescent="0.25">
      <c r="B20" s="249" t="s">
        <v>180</v>
      </c>
      <c r="C20" s="261" t="s">
        <v>178</v>
      </c>
      <c r="D20" s="259">
        <v>81000</v>
      </c>
      <c r="E20" s="259" t="s">
        <v>31</v>
      </c>
    </row>
    <row r="21" spans="2:7" ht="13.8" x14ac:dyDescent="0.3">
      <c r="B21" s="249" t="s">
        <v>196</v>
      </c>
      <c r="C21" s="261" t="s">
        <v>197</v>
      </c>
      <c r="D21" s="259">
        <v>153</v>
      </c>
      <c r="E21" s="259" t="s">
        <v>31</v>
      </c>
    </row>
    <row r="22" spans="2:7" x14ac:dyDescent="0.25">
      <c r="B22" s="249" t="s">
        <v>170</v>
      </c>
      <c r="C22" s="264" t="s">
        <v>319</v>
      </c>
      <c r="D22" s="259"/>
      <c r="E22" s="259"/>
      <c r="F22" s="96"/>
    </row>
    <row r="24" spans="2:7" x14ac:dyDescent="0.25">
      <c r="F24" s="96" t="s">
        <v>340</v>
      </c>
    </row>
    <row r="28" spans="2:7" ht="21" customHeight="1" x14ac:dyDescent="0.3">
      <c r="B28" s="160" t="s">
        <v>282</v>
      </c>
    </row>
    <row r="30" spans="2:7" x14ac:dyDescent="0.25">
      <c r="B30" s="249" t="s">
        <v>283</v>
      </c>
      <c r="C30" s="263">
        <v>3.2</v>
      </c>
      <c r="D30" s="249" t="s">
        <v>183</v>
      </c>
    </row>
    <row r="31" spans="2:7" x14ac:dyDescent="0.25">
      <c r="B31" s="249" t="s">
        <v>284</v>
      </c>
      <c r="C31" s="263">
        <v>2.4</v>
      </c>
      <c r="D31" s="249" t="s">
        <v>183</v>
      </c>
    </row>
    <row r="32" spans="2:7" x14ac:dyDescent="0.25">
      <c r="B32" s="249" t="s">
        <v>285</v>
      </c>
      <c r="C32" s="263">
        <v>76</v>
      </c>
      <c r="D32" s="249" t="s">
        <v>147</v>
      </c>
    </row>
    <row r="33" spans="2:5" x14ac:dyDescent="0.25">
      <c r="B33" s="249" t="s">
        <v>341</v>
      </c>
      <c r="C33" s="263">
        <v>27</v>
      </c>
      <c r="D33" s="249" t="s">
        <v>147</v>
      </c>
    </row>
    <row r="34" spans="2:5" x14ac:dyDescent="0.25">
      <c r="B34" s="249" t="s">
        <v>286</v>
      </c>
      <c r="C34" s="263">
        <v>0.5</v>
      </c>
      <c r="D34" s="249" t="s">
        <v>183</v>
      </c>
    </row>
    <row r="35" spans="2:5" x14ac:dyDescent="0.25">
      <c r="B35" s="259"/>
      <c r="C35" s="263">
        <v>0.75</v>
      </c>
      <c r="D35" s="249" t="s">
        <v>183</v>
      </c>
    </row>
    <row r="36" spans="2:5" x14ac:dyDescent="0.25">
      <c r="B36" s="259"/>
      <c r="C36" s="263">
        <v>1</v>
      </c>
      <c r="D36" s="249" t="s">
        <v>183</v>
      </c>
    </row>
    <row r="37" spans="2:5" x14ac:dyDescent="0.25">
      <c r="B37" s="249" t="s">
        <v>287</v>
      </c>
      <c r="C37" s="263">
        <v>0.7</v>
      </c>
      <c r="D37" s="249" t="s">
        <v>183</v>
      </c>
    </row>
    <row r="38" spans="2:5" x14ac:dyDescent="0.25">
      <c r="B38" s="249" t="s">
        <v>288</v>
      </c>
      <c r="C38" s="265">
        <v>1.5</v>
      </c>
      <c r="D38" s="259"/>
    </row>
    <row r="39" spans="2:5" x14ac:dyDescent="0.25">
      <c r="B39" s="260" t="s">
        <v>259</v>
      </c>
      <c r="C39" s="263"/>
      <c r="D39" s="259"/>
    </row>
    <row r="40" spans="2:5" x14ac:dyDescent="0.25">
      <c r="B40" s="249" t="s">
        <v>342</v>
      </c>
      <c r="C40" s="263">
        <v>250</v>
      </c>
      <c r="D40" s="249" t="s">
        <v>147</v>
      </c>
    </row>
    <row r="41" spans="2:5" x14ac:dyDescent="0.25">
      <c r="B41" s="249" t="s">
        <v>289</v>
      </c>
      <c r="C41" s="263">
        <v>15</v>
      </c>
      <c r="D41" s="249" t="s">
        <v>147</v>
      </c>
    </row>
    <row r="42" spans="2:5" x14ac:dyDescent="0.25">
      <c r="B42" s="249" t="s">
        <v>290</v>
      </c>
      <c r="C42" s="263">
        <v>180</v>
      </c>
      <c r="D42" s="249" t="s">
        <v>147</v>
      </c>
    </row>
    <row r="43" spans="2:5" x14ac:dyDescent="0.25">
      <c r="B43" s="260" t="s">
        <v>269</v>
      </c>
      <c r="C43" s="261" t="s">
        <v>270</v>
      </c>
      <c r="D43" s="259"/>
    </row>
    <row r="44" spans="2:5" x14ac:dyDescent="0.25">
      <c r="B44" s="249" t="s">
        <v>195</v>
      </c>
      <c r="C44" s="261">
        <v>16</v>
      </c>
      <c r="D44" s="259"/>
    </row>
    <row r="45" spans="2:5" x14ac:dyDescent="0.25">
      <c r="B45" s="249" t="s">
        <v>271</v>
      </c>
      <c r="C45" s="261">
        <v>400</v>
      </c>
      <c r="D45" s="249" t="s">
        <v>31</v>
      </c>
      <c r="E45" s="96"/>
    </row>
    <row r="46" spans="2:5" x14ac:dyDescent="0.25">
      <c r="B46" s="249" t="s">
        <v>272</v>
      </c>
      <c r="C46" s="261">
        <v>240</v>
      </c>
      <c r="D46" s="249" t="s">
        <v>31</v>
      </c>
    </row>
    <row r="47" spans="2:5" x14ac:dyDescent="0.25">
      <c r="B47" s="249" t="s">
        <v>304</v>
      </c>
      <c r="C47" s="261">
        <v>360</v>
      </c>
      <c r="D47" s="249" t="s">
        <v>31</v>
      </c>
    </row>
    <row r="48" spans="2:5" x14ac:dyDescent="0.25">
      <c r="B48" s="249" t="s">
        <v>343</v>
      </c>
      <c r="C48" s="261">
        <v>1.25</v>
      </c>
      <c r="D48" s="249" t="s">
        <v>31</v>
      </c>
    </row>
  </sheetData>
  <sheetProtection password="CBEB" sheet="1" objects="1" scenarios="1" selectLockedCells="1"/>
  <mergeCells count="1">
    <mergeCell ref="A3:G5"/>
  </mergeCells>
  <dataValidations xWindow="722" yWindow="326" count="3">
    <dataValidation type="list" allowBlank="1" showInputMessage="1" showErrorMessage="1" prompt="Zijn er assymetrische borden? Dit geldt voor verkeersborden met één enkele steun" sqref="C22">
      <formula1>"Ja,Nee"</formula1>
    </dataValidation>
    <dataValidation allowBlank="1" showInputMessage="1" showErrorMessage="1" prompt="De grootste paal" sqref="B30"/>
    <dataValidation allowBlank="1" showInputMessage="1" showErrorMessage="1" prompt="ENKEL VAN BELANG ALS ER GEKOZEN WORDT OM MET 1 PAAL TE WERKEN" sqref="B22"/>
  </dataValidations>
  <pageMargins left="0.7" right="0.7" top="0.75" bottom="0.75" header="0.3" footer="0.3"/>
  <pageSetup paperSize="9" scale="6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22" yWindow="326" count="7">
        <x14:dataValidation type="list" allowBlank="1" showInputMessage="1" showErrorMessage="1">
          <x14:formula1>
            <xm:f>'constanten Norm'!$B$8:$B$9</xm:f>
          </x14:formula1>
          <xm:sqref>C12</xm:sqref>
        </x14:dataValidation>
        <x14:dataValidation type="list" allowBlank="1" showInputMessage="1" showErrorMessage="1">
          <x14:formula1>
            <xm:f>'constanten Norm'!$B$13:$B$17</xm:f>
          </x14:formula1>
          <xm:sqref>C13</xm:sqref>
        </x14:dataValidation>
        <x14:dataValidation type="list" allowBlank="1" showInputMessage="1" showErrorMessage="1" promptTitle="Windbelasting" prompt="Geef hier de windbelasting die van toepassing is:_x000a_WL3: binnenland en geometrisch zwaartepunt &lt;= 4,5m_x000a_WL4: binnenland en geometrisch zwaartepunt &gt; 4,5m_x000a_WL4: kust en geometrisch zwaartepunt &lt;= 3,5m_x000a_WL5: kust en geometrisch zwaartepunt &gt; 3,5m ">
          <x14:formula1>
            <xm:f>'constanten Norm'!$B$21:$B$29</xm:f>
          </x14:formula1>
          <xm:sqref>C14</xm:sqref>
        </x14:dataValidation>
        <x14:dataValidation type="list" allowBlank="1" showInputMessage="1" showErrorMessage="1">
          <x14:formula1>
            <xm:f>'constanten Norm'!$B$36:$B$39</xm:f>
          </x14:formula1>
          <xm:sqref>C15</xm:sqref>
        </x14:dataValidation>
        <x14:dataValidation type="list" allowBlank="1" showInputMessage="1" showErrorMessage="1">
          <x14:formula1>
            <xm:f>'constanten Norm'!$B$43:$B$47</xm:f>
          </x14:formula1>
          <xm:sqref>C16</xm:sqref>
        </x14:dataValidation>
        <x14:dataValidation type="list" allowBlank="1" showInputMessage="1" showErrorMessage="1">
          <x14:formula1>
            <xm:f>'constanten Norm'!$B$81:$F$81</xm:f>
          </x14:formula1>
          <xm:sqref>C32</xm:sqref>
        </x14:dataValidation>
        <x14:dataValidation type="list" allowBlank="1" showInputMessage="1" showErrorMessage="1">
          <x14:formula1>
            <xm:f>'constanten Norm'!$B$55:$B$59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tabColor theme="4" tint="-0.499984740745262"/>
  </sheetPr>
  <dimension ref="A3:J185"/>
  <sheetViews>
    <sheetView topLeftCell="A100" zoomScaleNormal="100" workbookViewId="0">
      <selection activeCell="D172" sqref="D172"/>
    </sheetView>
  </sheetViews>
  <sheetFormatPr defaultRowHeight="13.2" x14ac:dyDescent="0.25"/>
  <cols>
    <col min="1" max="1" width="29.6640625" bestFit="1" customWidth="1"/>
    <col min="2" max="2" width="16" customWidth="1"/>
    <col min="3" max="3" width="19.5546875" bestFit="1" customWidth="1"/>
    <col min="4" max="4" width="10.6640625" bestFit="1" customWidth="1"/>
    <col min="5" max="5" width="12" bestFit="1" customWidth="1"/>
    <col min="6" max="6" width="12.5546875" bestFit="1" customWidth="1"/>
    <col min="8" max="8" width="10" bestFit="1" customWidth="1"/>
  </cols>
  <sheetData>
    <row r="3" spans="3:8" ht="13.8" thickBot="1" x14ac:dyDescent="0.3"/>
    <row r="4" spans="3:8" x14ac:dyDescent="0.25">
      <c r="C4" s="176" t="s">
        <v>235</v>
      </c>
      <c r="D4" s="177"/>
    </row>
    <row r="5" spans="3:8" x14ac:dyDescent="0.25">
      <c r="C5" s="178" t="s">
        <v>232</v>
      </c>
      <c r="D5" s="108">
        <f>Gegevens!C34</f>
        <v>0.5</v>
      </c>
    </row>
    <row r="6" spans="3:8" x14ac:dyDescent="0.25">
      <c r="C6" s="178" t="s">
        <v>233</v>
      </c>
      <c r="D6" s="108">
        <f>Gegevens!C35</f>
        <v>0.75</v>
      </c>
    </row>
    <row r="7" spans="3:8" ht="13.8" thickBot="1" x14ac:dyDescent="0.3">
      <c r="C7" s="179" t="s">
        <v>234</v>
      </c>
      <c r="D7" s="100">
        <f>Gegevens!C36</f>
        <v>1</v>
      </c>
    </row>
    <row r="8" spans="3:8" ht="13.8" thickBot="1" x14ac:dyDescent="0.3"/>
    <row r="9" spans="3:8" x14ac:dyDescent="0.25">
      <c r="C9" s="156" t="s">
        <v>219</v>
      </c>
      <c r="D9" s="180">
        <f>Gegevens!C30</f>
        <v>3.2</v>
      </c>
      <c r="E9" s="181" t="s">
        <v>183</v>
      </c>
      <c r="F9" s="182" t="s">
        <v>220</v>
      </c>
      <c r="G9" s="157">
        <f>Gegevens!C31</f>
        <v>2.4</v>
      </c>
      <c r="H9" s="183" t="s">
        <v>183</v>
      </c>
    </row>
    <row r="10" spans="3:8" x14ac:dyDescent="0.25">
      <c r="C10" s="184"/>
      <c r="D10" s="137"/>
      <c r="E10" s="89"/>
      <c r="F10" s="89"/>
      <c r="G10" s="89"/>
      <c r="H10" s="108"/>
    </row>
    <row r="11" spans="3:8" x14ac:dyDescent="0.25">
      <c r="C11" s="184" t="s">
        <v>215</v>
      </c>
      <c r="D11" s="137">
        <v>0.3</v>
      </c>
      <c r="E11" s="145" t="s">
        <v>183</v>
      </c>
      <c r="F11" s="89" t="s">
        <v>215</v>
      </c>
      <c r="G11" s="89">
        <v>0.2</v>
      </c>
      <c r="H11" s="146" t="s">
        <v>183</v>
      </c>
    </row>
    <row r="12" spans="3:8" x14ac:dyDescent="0.25">
      <c r="C12" s="184" t="s">
        <v>216</v>
      </c>
      <c r="D12" s="137">
        <f>Gegevens!C37</f>
        <v>0.7</v>
      </c>
      <c r="E12" s="145" t="s">
        <v>183</v>
      </c>
      <c r="F12" s="89" t="s">
        <v>216</v>
      </c>
      <c r="G12" s="137">
        <f>D12</f>
        <v>0.7</v>
      </c>
      <c r="H12" s="146" t="s">
        <v>183</v>
      </c>
    </row>
    <row r="13" spans="3:8" x14ac:dyDescent="0.25">
      <c r="C13" s="184" t="s">
        <v>217</v>
      </c>
      <c r="D13" s="137">
        <f>D9-D11-D15*D12</f>
        <v>0.10000000000000053</v>
      </c>
      <c r="E13" s="145" t="s">
        <v>183</v>
      </c>
      <c r="F13" s="89" t="s">
        <v>217</v>
      </c>
      <c r="G13" s="89">
        <f>G9-G11-G15*G12</f>
        <v>0.10000000000000009</v>
      </c>
      <c r="H13" s="146" t="s">
        <v>183</v>
      </c>
    </row>
    <row r="14" spans="3:8" x14ac:dyDescent="0.25">
      <c r="C14" s="184"/>
      <c r="D14" s="89"/>
      <c r="E14" s="89"/>
      <c r="F14" s="89"/>
      <c r="G14" s="89"/>
      <c r="H14" s="108"/>
    </row>
    <row r="15" spans="3:8" ht="13.8" thickBot="1" x14ac:dyDescent="0.3">
      <c r="C15" s="185" t="s">
        <v>218</v>
      </c>
      <c r="D15" s="186">
        <f>FLOOR(((D9-D11)/D12),1)</f>
        <v>4</v>
      </c>
      <c r="E15" s="94"/>
      <c r="F15" s="94"/>
      <c r="G15" s="186">
        <f>FLOOR(((G9-G11)/G12),1)</f>
        <v>3</v>
      </c>
      <c r="H15" s="100"/>
    </row>
    <row r="19" spans="1:7" x14ac:dyDescent="0.25">
      <c r="A19" s="187" t="s">
        <v>226</v>
      </c>
    </row>
    <row r="21" spans="1:7" x14ac:dyDescent="0.25">
      <c r="B21" s="2" t="s">
        <v>227</v>
      </c>
    </row>
    <row r="22" spans="1:7" ht="13.8" thickBot="1" x14ac:dyDescent="0.3"/>
    <row r="23" spans="1:7" x14ac:dyDescent="0.25">
      <c r="B23" s="55" t="s">
        <v>225</v>
      </c>
      <c r="C23" s="56"/>
      <c r="D23" s="136">
        <f>berekeningsprogramma!C66+berekeningsprogramma!C67+berekeningsprogramma!C68</f>
        <v>8110.7296648781394</v>
      </c>
      <c r="E23" s="103" t="s">
        <v>177</v>
      </c>
    </row>
    <row r="24" spans="1:7" x14ac:dyDescent="0.25">
      <c r="B24" s="62"/>
      <c r="C24" s="90" t="s">
        <v>291</v>
      </c>
      <c r="D24" s="89">
        <f>SUM(berekeningsprogramma!E25+berekeningsprogramma!G26+berekeningsprogramma!G27+berekeningsprogramma!E28+berekeningsprogramma!E29+berekeningsprogramma!E31+berekeningsprogramma!G32+berekeningsprogramma!E33+berekeningsprogramma!E34+berekeningsprogramma!E35+berekeningsprogramma!E37+berekeningsprogramma!G38+berekeningsprogramma!E39+berekeningsprogramma!E40+berekeningsprogramma!E41)</f>
        <v>2100</v>
      </c>
      <c r="E24" s="60"/>
    </row>
    <row r="25" spans="1:7" x14ac:dyDescent="0.25">
      <c r="B25" s="62"/>
      <c r="C25" s="90" t="s">
        <v>293</v>
      </c>
      <c r="D25" s="89">
        <f>MAX(berekeningsprogramma!E25:E29,berekeningsprogramma!E31:E35,berekeningsprogramma!E37:E41)</f>
        <v>3500</v>
      </c>
      <c r="E25" s="60"/>
    </row>
    <row r="26" spans="1:7" x14ac:dyDescent="0.25">
      <c r="B26" s="58" t="s">
        <v>228</v>
      </c>
      <c r="C26" s="59"/>
      <c r="D26" s="89">
        <f>('Invoer en resultaten'!F20+(D24)/2)/1000</f>
        <v>2.0499999999999998</v>
      </c>
      <c r="E26" s="61" t="s">
        <v>183</v>
      </c>
    </row>
    <row r="27" spans="1:7" x14ac:dyDescent="0.25">
      <c r="B27" s="62"/>
      <c r="C27" s="59"/>
      <c r="D27" s="89"/>
      <c r="E27" s="60"/>
    </row>
    <row r="28" spans="1:7" ht="13.8" thickBot="1" x14ac:dyDescent="0.3">
      <c r="B28" s="73" t="s">
        <v>236</v>
      </c>
      <c r="C28" s="64"/>
      <c r="D28" s="188">
        <f>berekeningsprogramma!D73</f>
        <v>5822.6031257895811</v>
      </c>
      <c r="E28" s="107" t="s">
        <v>229</v>
      </c>
    </row>
    <row r="29" spans="1:7" ht="13.8" thickBot="1" x14ac:dyDescent="0.3"/>
    <row r="30" spans="1:7" x14ac:dyDescent="0.25">
      <c r="B30" s="72"/>
      <c r="C30" s="56"/>
      <c r="D30" s="102" t="s">
        <v>232</v>
      </c>
      <c r="E30" s="102" t="s">
        <v>233</v>
      </c>
      <c r="F30" s="103" t="s">
        <v>234</v>
      </c>
    </row>
    <row r="31" spans="1:7" x14ac:dyDescent="0.25">
      <c r="B31" s="58" t="s">
        <v>252</v>
      </c>
      <c r="C31" s="59"/>
      <c r="D31" s="274">
        <f>D28/D5/2</f>
        <v>5822.6031257895811</v>
      </c>
      <c r="E31" s="275">
        <f>D28/D6/2</f>
        <v>3881.7354171930542</v>
      </c>
      <c r="F31" s="276">
        <f>D28/D7/2</f>
        <v>2911.3015628947905</v>
      </c>
      <c r="G31" s="2" t="s">
        <v>177</v>
      </c>
    </row>
    <row r="32" spans="1:7" ht="13.8" thickBot="1" x14ac:dyDescent="0.3">
      <c r="B32" s="73" t="s">
        <v>253</v>
      </c>
      <c r="C32" s="64"/>
      <c r="D32" s="277">
        <f>D28/D5/3</f>
        <v>3881.7354171930542</v>
      </c>
      <c r="E32" s="278">
        <f>D28/D6/3</f>
        <v>2587.8236114620363</v>
      </c>
      <c r="F32" s="279">
        <f>D28/D7/3</f>
        <v>1940.8677085965271</v>
      </c>
      <c r="G32" s="2" t="s">
        <v>177</v>
      </c>
    </row>
    <row r="33" spans="1:5" ht="13.8" thickBot="1" x14ac:dyDescent="0.3">
      <c r="A33" s="187" t="s">
        <v>292</v>
      </c>
      <c r="B33" s="32"/>
      <c r="E33" s="2"/>
    </row>
    <row r="34" spans="1:5" x14ac:dyDescent="0.25">
      <c r="B34" s="191" t="s">
        <v>18</v>
      </c>
      <c r="C34" s="181" t="s">
        <v>19</v>
      </c>
      <c r="D34" s="189">
        <f>Gegevens!C32</f>
        <v>76</v>
      </c>
      <c r="E34" s="115" t="s">
        <v>147</v>
      </c>
    </row>
    <row r="35" spans="1:5" x14ac:dyDescent="0.25">
      <c r="B35" s="141" t="s">
        <v>20</v>
      </c>
      <c r="C35" s="192" t="s">
        <v>21</v>
      </c>
      <c r="D35" s="89">
        <f>HLOOKUP(D34,'constanten Norm'!B81:F82,2,TRUE)</f>
        <v>2.9</v>
      </c>
      <c r="E35" s="146" t="s">
        <v>147</v>
      </c>
    </row>
    <row r="36" spans="1:5" x14ac:dyDescent="0.25">
      <c r="B36" s="141" t="s">
        <v>22</v>
      </c>
      <c r="C36" s="192" t="s">
        <v>23</v>
      </c>
      <c r="D36" s="89">
        <f>D34-2*D35</f>
        <v>70.2</v>
      </c>
      <c r="E36" s="146" t="s">
        <v>147</v>
      </c>
    </row>
    <row r="37" spans="1:5" x14ac:dyDescent="0.25">
      <c r="B37" s="193" t="s">
        <v>24</v>
      </c>
      <c r="C37" s="194" t="s">
        <v>25</v>
      </c>
      <c r="D37" s="190">
        <f>3.14*(D34*D34*D34*D34-D36*D36*D36*D36)/64</f>
        <v>445320.57752150006</v>
      </c>
      <c r="E37" s="146" t="s">
        <v>148</v>
      </c>
    </row>
    <row r="38" spans="1:5" x14ac:dyDescent="0.25">
      <c r="B38" s="141" t="s">
        <v>26</v>
      </c>
      <c r="C38" s="194" t="s">
        <v>27</v>
      </c>
      <c r="D38" s="190">
        <f>2*D37/(D34)</f>
        <v>11718.962566355265</v>
      </c>
      <c r="E38" s="146" t="s">
        <v>149</v>
      </c>
    </row>
    <row r="39" spans="1:5" ht="15.6" x14ac:dyDescent="0.35">
      <c r="B39" s="141" t="s">
        <v>44</v>
      </c>
      <c r="C39" s="194" t="s">
        <v>28</v>
      </c>
      <c r="D39" s="190">
        <f>D38*D43/1000</f>
        <v>2753.9562030934871</v>
      </c>
      <c r="E39" s="146" t="s">
        <v>229</v>
      </c>
    </row>
    <row r="40" spans="1:5" x14ac:dyDescent="0.25">
      <c r="B40" s="193"/>
      <c r="C40" s="192" t="s">
        <v>244</v>
      </c>
      <c r="D40" s="190">
        <f>SQRT(D37/D41)</f>
        <v>25.865082640502038</v>
      </c>
      <c r="E40" s="146"/>
    </row>
    <row r="41" spans="1:5" x14ac:dyDescent="0.25">
      <c r="B41" s="193" t="s">
        <v>245</v>
      </c>
      <c r="C41" s="192"/>
      <c r="D41" s="190">
        <f>3.14*(D34*D34-D36*D36)/4</f>
        <v>665.6486000000001</v>
      </c>
      <c r="E41" s="146" t="s">
        <v>147</v>
      </c>
    </row>
    <row r="42" spans="1:5" x14ac:dyDescent="0.25">
      <c r="B42" s="141"/>
      <c r="C42" s="194"/>
      <c r="D42" s="89"/>
      <c r="E42" s="108"/>
    </row>
    <row r="43" spans="1:5" ht="16.2" thickBot="1" x14ac:dyDescent="0.4">
      <c r="B43" s="195" t="s">
        <v>29</v>
      </c>
      <c r="C43" s="158" t="s">
        <v>30</v>
      </c>
      <c r="D43" s="94">
        <f>berekeningsprogramma!D45</f>
        <v>235</v>
      </c>
      <c r="E43" s="100" t="s">
        <v>31</v>
      </c>
    </row>
    <row r="44" spans="1:5" ht="13.8" thickBot="1" x14ac:dyDescent="0.3">
      <c r="A44" s="187" t="s">
        <v>239</v>
      </c>
    </row>
    <row r="45" spans="1:5" x14ac:dyDescent="0.25">
      <c r="B45" s="196" t="s">
        <v>238</v>
      </c>
      <c r="C45" s="157"/>
      <c r="D45" s="189">
        <f>Gegevens!C33</f>
        <v>27</v>
      </c>
      <c r="E45" s="115" t="s">
        <v>147</v>
      </c>
    </row>
    <row r="46" spans="1:5" ht="13.8" thickBot="1" x14ac:dyDescent="0.3">
      <c r="B46" s="142" t="s">
        <v>237</v>
      </c>
      <c r="C46" s="158"/>
      <c r="D46" s="94">
        <f>D45-2*2.65</f>
        <v>21.7</v>
      </c>
      <c r="E46" s="116" t="s">
        <v>147</v>
      </c>
    </row>
    <row r="50" spans="1:7" ht="15.6" x14ac:dyDescent="0.3">
      <c r="A50" s="159" t="s">
        <v>254</v>
      </c>
    </row>
    <row r="51" spans="1:7" x14ac:dyDescent="0.25">
      <c r="B51" t="s">
        <v>240</v>
      </c>
      <c r="D51" s="30">
        <f>D31</f>
        <v>5822.6031257895811</v>
      </c>
      <c r="E51" t="s">
        <v>177</v>
      </c>
    </row>
    <row r="52" spans="1:7" x14ac:dyDescent="0.25">
      <c r="B52" t="s">
        <v>241</v>
      </c>
      <c r="D52" s="30">
        <f>D32</f>
        <v>3881.7354171930542</v>
      </c>
      <c r="E52" t="s">
        <v>177</v>
      </c>
    </row>
    <row r="54" spans="1:7" x14ac:dyDescent="0.25">
      <c r="A54" t="s">
        <v>242</v>
      </c>
    </row>
    <row r="55" spans="1:7" x14ac:dyDescent="0.25">
      <c r="B55" t="s">
        <v>243</v>
      </c>
      <c r="D55" s="30">
        <f>2*(D26)*SQRT((1+2.18)/3.18)</f>
        <v>4.0999999999999996</v>
      </c>
    </row>
    <row r="57" spans="1:7" x14ac:dyDescent="0.25">
      <c r="B57" s="2"/>
      <c r="E57" s="2"/>
    </row>
    <row r="58" spans="1:7" x14ac:dyDescent="0.25">
      <c r="B58" s="2" t="s">
        <v>246</v>
      </c>
      <c r="D58" s="30">
        <f>D55/D40*1000</f>
        <v>158.51486179208354</v>
      </c>
      <c r="F58" s="2"/>
    </row>
    <row r="59" spans="1:7" x14ac:dyDescent="0.25">
      <c r="B59" s="2" t="s">
        <v>247</v>
      </c>
      <c r="D59" s="30">
        <f>D58/(3.14*SQRT(Gegevens!D19/D43))</f>
        <v>1.688747122678504</v>
      </c>
      <c r="F59" s="2"/>
    </row>
    <row r="60" spans="1:7" x14ac:dyDescent="0.25">
      <c r="B60" s="2" t="s">
        <v>251</v>
      </c>
      <c r="D60">
        <f>VLOOKUP(D59,'constanten Norm'!A87:B115,2,TRUE)</f>
        <v>0.33</v>
      </c>
    </row>
    <row r="62" spans="1:7" x14ac:dyDescent="0.25">
      <c r="D62" s="2" t="s">
        <v>232</v>
      </c>
      <c r="E62" s="2" t="s">
        <v>233</v>
      </c>
      <c r="F62" s="2" t="s">
        <v>234</v>
      </c>
    </row>
    <row r="63" spans="1:7" x14ac:dyDescent="0.25">
      <c r="B63" s="2" t="s">
        <v>302</v>
      </c>
      <c r="D63" s="30">
        <f>D31/D60/D41</f>
        <v>26.5068564650058</v>
      </c>
      <c r="E63" s="30">
        <f>E31/D60/D41</f>
        <v>17.6712376433372</v>
      </c>
      <c r="F63" s="30">
        <f>F31/D60/D41</f>
        <v>13.2534282325029</v>
      </c>
      <c r="G63" s="2" t="s">
        <v>31</v>
      </c>
    </row>
    <row r="64" spans="1:7" x14ac:dyDescent="0.25">
      <c r="B64" s="2" t="s">
        <v>303</v>
      </c>
      <c r="D64" s="30">
        <f>D32/D60/D41</f>
        <v>17.6712376433372</v>
      </c>
      <c r="E64" s="30">
        <f>E32/D60/D41</f>
        <v>11.780825095558134</v>
      </c>
      <c r="F64" s="30">
        <f>F32/D60/D41</f>
        <v>8.8356188216686</v>
      </c>
      <c r="G64" s="2" t="s">
        <v>31</v>
      </c>
    </row>
    <row r="65" spans="1:6" ht="13.8" thickBot="1" x14ac:dyDescent="0.3">
      <c r="B65" s="2"/>
    </row>
    <row r="66" spans="1:6" x14ac:dyDescent="0.25">
      <c r="B66" s="156" t="s">
        <v>298</v>
      </c>
      <c r="C66" s="157"/>
      <c r="D66" s="56" t="str">
        <f>IF(D63&lt;Gegevens!$D$18/Gegevens!$D$13,"1","0")</f>
        <v>1</v>
      </c>
      <c r="E66" s="56" t="str">
        <f>IF(E63&lt;Gegevens!$D$18/Gegevens!$D$13,"1","0")</f>
        <v>1</v>
      </c>
      <c r="F66" s="57" t="str">
        <f>IF(F63&lt;Gegevens!$D$18/Gegevens!$D$13,"1","0")</f>
        <v>1</v>
      </c>
    </row>
    <row r="67" spans="1:6" ht="13.8" thickBot="1" x14ac:dyDescent="0.3">
      <c r="B67" s="142"/>
      <c r="C67" s="158"/>
      <c r="D67" s="64" t="str">
        <f>IF(D64&lt;Gegevens!$D$18/Gegevens!$D$13,"1","0")</f>
        <v>1</v>
      </c>
      <c r="E67" s="64" t="str">
        <f>IF(E64&lt;Gegevens!$D$18/Gegevens!$D$13,"1","0")</f>
        <v>1</v>
      </c>
      <c r="F67" s="65" t="str">
        <f>IF(F64&lt;Gegevens!$D$18/Gegevens!$D$13,"1","0")</f>
        <v>1</v>
      </c>
    </row>
    <row r="69" spans="1:6" ht="15.6" x14ac:dyDescent="0.3">
      <c r="A69" s="161" t="s">
        <v>255</v>
      </c>
    </row>
    <row r="71" spans="1:6" x14ac:dyDescent="0.25">
      <c r="B71" s="2" t="s">
        <v>221</v>
      </c>
    </row>
    <row r="73" spans="1:6" x14ac:dyDescent="0.25">
      <c r="C73" s="2" t="s">
        <v>222</v>
      </c>
      <c r="D73">
        <f>D5</f>
        <v>0.5</v>
      </c>
      <c r="E73">
        <v>0.75</v>
      </c>
      <c r="F73">
        <v>1</v>
      </c>
    </row>
    <row r="74" spans="1:6" x14ac:dyDescent="0.25">
      <c r="C74" s="2" t="s">
        <v>223</v>
      </c>
      <c r="D74">
        <f>D12</f>
        <v>0.7</v>
      </c>
      <c r="E74">
        <f>D74</f>
        <v>0.7</v>
      </c>
      <c r="F74">
        <f>D74</f>
        <v>0.7</v>
      </c>
    </row>
    <row r="75" spans="1:6" x14ac:dyDescent="0.25">
      <c r="C75" s="2" t="s">
        <v>224</v>
      </c>
      <c r="D75" s="15">
        <f>SQRT(D74*D74+D73*D73)</f>
        <v>0.86023252670426265</v>
      </c>
      <c r="E75" s="15">
        <f t="shared" ref="E75:F75" si="0">SQRT(E74*E74+E73*E73)</f>
        <v>1.0259142264341596</v>
      </c>
      <c r="F75" s="15">
        <f t="shared" si="0"/>
        <v>1.2206555615733703</v>
      </c>
    </row>
    <row r="77" spans="1:6" x14ac:dyDescent="0.25">
      <c r="C77" t="s">
        <v>230</v>
      </c>
      <c r="D77" s="30">
        <f>ASIN(D73/D75)*180/3.14</f>
        <v>35.555703018123531</v>
      </c>
      <c r="E77" s="30">
        <f t="shared" ref="E77:F77" si="1">ASIN(E73/E75)*180/3.14</f>
        <v>46.998760379443347</v>
      </c>
      <c r="F77" s="30">
        <f t="shared" si="1"/>
        <v>55.03588064745982</v>
      </c>
    </row>
    <row r="78" spans="1:6" x14ac:dyDescent="0.25">
      <c r="C78" s="2" t="s">
        <v>231</v>
      </c>
      <c r="D78" s="30">
        <f>90-D77</f>
        <v>54.444296981876469</v>
      </c>
      <c r="E78" s="30">
        <f t="shared" ref="E78:F78" si="2">90-E77</f>
        <v>43.001239620556653</v>
      </c>
      <c r="F78" s="30">
        <f t="shared" si="2"/>
        <v>34.96411935254018</v>
      </c>
    </row>
    <row r="80" spans="1:6" x14ac:dyDescent="0.25">
      <c r="B80" s="2" t="s">
        <v>256</v>
      </c>
      <c r="D80" s="30">
        <f>$D$23*D75/D73/2</f>
        <v>6977.1134730333397</v>
      </c>
      <c r="E80" s="30">
        <f t="shared" ref="E80:F80" si="3">$D$23*E75/E73/2</f>
        <v>5547.2752999733648</v>
      </c>
      <c r="F80" s="30">
        <f t="shared" si="3"/>
        <v>4950.2036369258094</v>
      </c>
    </row>
    <row r="81" spans="2:6" x14ac:dyDescent="0.25">
      <c r="B81" s="2" t="s">
        <v>257</v>
      </c>
      <c r="D81" s="30">
        <f>$D$23*D75/D73/3</f>
        <v>4651.4089820222262</v>
      </c>
      <c r="E81" s="30">
        <f t="shared" ref="E81:F81" si="4">$D$23*E75/E73/3</f>
        <v>3698.1835333155764</v>
      </c>
      <c r="F81" s="30">
        <f t="shared" si="4"/>
        <v>3300.1357579505398</v>
      </c>
    </row>
    <row r="84" spans="2:6" x14ac:dyDescent="0.25">
      <c r="B84" s="2" t="s">
        <v>238</v>
      </c>
      <c r="D84">
        <f>D45</f>
        <v>27</v>
      </c>
    </row>
    <row r="85" spans="2:6" x14ac:dyDescent="0.25">
      <c r="B85" s="2" t="s">
        <v>258</v>
      </c>
      <c r="D85">
        <f>D46</f>
        <v>21.7</v>
      </c>
    </row>
    <row r="86" spans="2:6" x14ac:dyDescent="0.25">
      <c r="B86" s="2" t="s">
        <v>24</v>
      </c>
      <c r="C86" t="s">
        <v>25</v>
      </c>
      <c r="D86" s="15">
        <f>3.14*(D84*D84*D84*D84-D85*D85*D85*D85)/64</f>
        <v>15194.833262593751</v>
      </c>
      <c r="E86" s="2" t="s">
        <v>148</v>
      </c>
    </row>
    <row r="87" spans="2:6" x14ac:dyDescent="0.25">
      <c r="B87" t="s">
        <v>26</v>
      </c>
      <c r="C87" t="s">
        <v>27</v>
      </c>
      <c r="D87" s="15">
        <f>2*D86/(D84)</f>
        <v>1125.543204636574</v>
      </c>
      <c r="E87" s="2" t="s">
        <v>149</v>
      </c>
    </row>
    <row r="88" spans="2:6" ht="15.6" x14ac:dyDescent="0.35">
      <c r="B88" t="s">
        <v>44</v>
      </c>
      <c r="C88" t="s">
        <v>28</v>
      </c>
      <c r="D88" s="15">
        <f>D87*D43/1000</f>
        <v>264.5026530895949</v>
      </c>
      <c r="E88" s="2" t="s">
        <v>229</v>
      </c>
    </row>
    <row r="89" spans="2:6" x14ac:dyDescent="0.25">
      <c r="B89" s="2"/>
      <c r="C89" s="2" t="s">
        <v>244</v>
      </c>
      <c r="D89" s="15">
        <f>SQRT(D86/D90)</f>
        <v>8.6598571004376286</v>
      </c>
      <c r="E89" s="2"/>
    </row>
    <row r="90" spans="2:6" x14ac:dyDescent="0.25">
      <c r="B90" s="2" t="s">
        <v>245</v>
      </c>
      <c r="C90" s="2"/>
      <c r="D90" s="15">
        <f>3.14*(D84*D84-D85*D85)/4</f>
        <v>202.61635000000001</v>
      </c>
      <c r="E90" s="2" t="s">
        <v>147</v>
      </c>
    </row>
    <row r="93" spans="2:6" x14ac:dyDescent="0.25">
      <c r="B93" t="s">
        <v>242</v>
      </c>
      <c r="D93" s="30">
        <f>D75</f>
        <v>0.86023252670426265</v>
      </c>
      <c r="E93" s="30">
        <f>E75</f>
        <v>1.0259142264341596</v>
      </c>
      <c r="F93" s="30">
        <f>F75</f>
        <v>1.2206555615733703</v>
      </c>
    </row>
    <row r="95" spans="2:6" x14ac:dyDescent="0.25">
      <c r="B95" s="2"/>
    </row>
    <row r="96" spans="2:6" x14ac:dyDescent="0.25">
      <c r="B96" s="2" t="s">
        <v>246</v>
      </c>
      <c r="D96" s="30">
        <f>D93/D89*1000</f>
        <v>99.33564915993712</v>
      </c>
      <c r="E96" s="30">
        <f>E93/D89*1000</f>
        <v>118.46780085808976</v>
      </c>
      <c r="F96" s="30">
        <f>F93/D89*1000</f>
        <v>140.95562402660016</v>
      </c>
    </row>
    <row r="97" spans="1:7" x14ac:dyDescent="0.25">
      <c r="B97" s="2" t="s">
        <v>247</v>
      </c>
      <c r="D97" s="30">
        <f>D96/(3.14*SQRT(Gegevens!$D$19/$D$43))</f>
        <v>1.0582780049878135</v>
      </c>
      <c r="E97" s="30">
        <f>E96/(3.14*SQRT(Gegevens!$D$19/$D$43))</f>
        <v>1.2621034745092936</v>
      </c>
      <c r="F97" s="30">
        <f>F96/(3.14*SQRT(Gegevens!$D$19/$D$43))</f>
        <v>1.5016787814665467</v>
      </c>
    </row>
    <row r="98" spans="1:7" x14ac:dyDescent="0.25">
      <c r="B98" s="2" t="s">
        <v>251</v>
      </c>
      <c r="D98">
        <f>VLOOKUP(D97,'constanten Norm'!$A$87:$B$115,2,TRUE)</f>
        <v>0.67</v>
      </c>
      <c r="E98">
        <f>VLOOKUP(E97,'constanten Norm'!$A$87:$B$115,2,TRUE)</f>
        <v>0.53</v>
      </c>
      <c r="F98">
        <f>VLOOKUP(F97,'constanten Norm'!$A$87:$B$115,2,TRUE)</f>
        <v>0.37</v>
      </c>
    </row>
    <row r="100" spans="1:7" x14ac:dyDescent="0.25">
      <c r="D100" s="2" t="s">
        <v>232</v>
      </c>
      <c r="E100" s="2" t="s">
        <v>233</v>
      </c>
      <c r="F100" s="2" t="s">
        <v>234</v>
      </c>
    </row>
    <row r="101" spans="1:7" x14ac:dyDescent="0.25">
      <c r="B101" s="2" t="s">
        <v>302</v>
      </c>
      <c r="D101" s="30">
        <f>D80/$D90/$D98</f>
        <v>51.395665742459684</v>
      </c>
      <c r="E101" s="30">
        <f>E80/$D90/E98</f>
        <v>51.657021606405721</v>
      </c>
      <c r="F101" s="30">
        <f>F80/$D90/F98</f>
        <v>66.030844739075278</v>
      </c>
    </row>
    <row r="102" spans="1:7" x14ac:dyDescent="0.25">
      <c r="B102" s="2" t="s">
        <v>303</v>
      </c>
      <c r="D102" s="30">
        <f>D81/$D98/$D$90</f>
        <v>34.263777161639787</v>
      </c>
      <c r="E102" s="30">
        <f>E81/E98/$D$90</f>
        <v>34.438014404270483</v>
      </c>
      <c r="F102" s="30">
        <f>F81/F98/$D$90</f>
        <v>44.020563159383514</v>
      </c>
    </row>
    <row r="103" spans="1:7" ht="13.8" thickBot="1" x14ac:dyDescent="0.3"/>
    <row r="104" spans="1:7" x14ac:dyDescent="0.25">
      <c r="B104" s="156" t="s">
        <v>298</v>
      </c>
      <c r="C104" s="157"/>
      <c r="D104" s="56" t="str">
        <f>IF(D101&lt;Gegevens!$D$18/Gegevens!$D$13,"1","0")</f>
        <v>1</v>
      </c>
      <c r="E104" s="56" t="str">
        <f>IF(E101&lt;Gegevens!$D$18/Gegevens!$D$13,"1","0")</f>
        <v>1</v>
      </c>
      <c r="F104" s="57" t="str">
        <f>IF(F101&lt;Gegevens!$D$18/Gegevens!$D$13,"1","0")</f>
        <v>1</v>
      </c>
      <c r="G104" s="2"/>
    </row>
    <row r="105" spans="1:7" ht="13.8" thickBot="1" x14ac:dyDescent="0.3">
      <c r="B105" s="142"/>
      <c r="C105" s="158"/>
      <c r="D105" s="64" t="str">
        <f>IF(D102&lt;Gegevens!$D$18/Gegevens!$D$13,"1","0")</f>
        <v>1</v>
      </c>
      <c r="E105" s="64" t="str">
        <f>IF(E102&lt;Gegevens!$D$18/Gegevens!$D$13,"1","0")</f>
        <v>1</v>
      </c>
      <c r="F105" s="65" t="str">
        <f>IF(F102&lt;Gegevens!$D$18/Gegevens!$D$13,"1","0")</f>
        <v>1</v>
      </c>
      <c r="G105" s="2"/>
    </row>
    <row r="107" spans="1:7" ht="15.6" x14ac:dyDescent="0.3">
      <c r="A107" s="161" t="s">
        <v>259</v>
      </c>
    </row>
    <row r="108" spans="1:7" x14ac:dyDescent="0.25">
      <c r="B108" s="2"/>
      <c r="E108" s="96"/>
    </row>
    <row r="109" spans="1:7" ht="14.25" customHeight="1" x14ac:dyDescent="0.25">
      <c r="B109" s="2" t="s">
        <v>260</v>
      </c>
      <c r="D109">
        <f>Gegevens!C41</f>
        <v>15</v>
      </c>
      <c r="E109" s="2" t="s">
        <v>147</v>
      </c>
    </row>
    <row r="110" spans="1:7" x14ac:dyDescent="0.25">
      <c r="B110" s="2" t="s">
        <v>261</v>
      </c>
      <c r="D110">
        <f>Gegevens!C40</f>
        <v>250</v>
      </c>
      <c r="E110" s="2" t="s">
        <v>147</v>
      </c>
    </row>
    <row r="111" spans="1:7" x14ac:dyDescent="0.25">
      <c r="B111" s="2" t="s">
        <v>262</v>
      </c>
      <c r="D111">
        <f>Gegevens!C42</f>
        <v>180</v>
      </c>
      <c r="E111" s="2" t="s">
        <v>147</v>
      </c>
    </row>
    <row r="112" spans="1:7" x14ac:dyDescent="0.25">
      <c r="B112" s="2" t="s">
        <v>27</v>
      </c>
      <c r="D112">
        <f>D110*D109*D109/6</f>
        <v>9375</v>
      </c>
      <c r="E112" s="2" t="s">
        <v>149</v>
      </c>
    </row>
    <row r="113" spans="2:8" x14ac:dyDescent="0.25">
      <c r="C113" s="2"/>
    </row>
    <row r="114" spans="2:8" x14ac:dyDescent="0.25">
      <c r="C114" s="2"/>
      <c r="D114" s="2" t="s">
        <v>232</v>
      </c>
      <c r="E114" s="2" t="s">
        <v>233</v>
      </c>
      <c r="F114" s="2" t="s">
        <v>234</v>
      </c>
    </row>
    <row r="115" spans="2:8" x14ac:dyDescent="0.25">
      <c r="B115" s="2" t="s">
        <v>263</v>
      </c>
      <c r="C115" s="2"/>
      <c r="D115" s="30">
        <f t="shared" ref="D115:F116" si="5">D31/4</f>
        <v>1455.6507814473953</v>
      </c>
      <c r="E115" s="30">
        <f t="shared" si="5"/>
        <v>970.43385429826355</v>
      </c>
      <c r="F115" s="30">
        <f t="shared" si="5"/>
        <v>727.82539072369764</v>
      </c>
      <c r="H115" s="2"/>
    </row>
    <row r="116" spans="2:8" x14ac:dyDescent="0.25">
      <c r="C116" s="2"/>
      <c r="D116" s="30">
        <f t="shared" si="5"/>
        <v>970.43385429826355</v>
      </c>
      <c r="E116" s="30">
        <f t="shared" si="5"/>
        <v>646.95590286550907</v>
      </c>
      <c r="F116" s="30">
        <f t="shared" si="5"/>
        <v>485.21692714913178</v>
      </c>
    </row>
    <row r="118" spans="2:8" x14ac:dyDescent="0.25">
      <c r="B118" s="2" t="s">
        <v>267</v>
      </c>
      <c r="D118" s="30">
        <f>2*D115</f>
        <v>2911.3015628947905</v>
      </c>
      <c r="E118" s="30">
        <f t="shared" ref="E118:F118" si="6">2*E115</f>
        <v>1940.8677085965271</v>
      </c>
      <c r="F118" s="30">
        <f t="shared" si="6"/>
        <v>1455.6507814473953</v>
      </c>
    </row>
    <row r="119" spans="2:8" x14ac:dyDescent="0.25">
      <c r="D119" s="30">
        <f>2*D116</f>
        <v>1940.8677085965271</v>
      </c>
      <c r="E119" s="30">
        <f t="shared" ref="E119:F119" si="7">2*E116</f>
        <v>1293.9118057310181</v>
      </c>
      <c r="F119" s="30">
        <f t="shared" si="7"/>
        <v>970.43385429826355</v>
      </c>
    </row>
    <row r="120" spans="2:8" x14ac:dyDescent="0.25">
      <c r="D120" s="30"/>
      <c r="E120" s="30"/>
      <c r="F120" s="30"/>
    </row>
    <row r="121" spans="2:8" x14ac:dyDescent="0.25">
      <c r="B121" s="2" t="s">
        <v>236</v>
      </c>
      <c r="D121" s="30">
        <f>2*D115*($D$111/2-35)</f>
        <v>160121.58595921349</v>
      </c>
      <c r="E121" s="30">
        <f t="shared" ref="E121:F121" si="8">2*E115*($D$111/2-35)</f>
        <v>106747.72397280899</v>
      </c>
      <c r="F121" s="30">
        <f t="shared" si="8"/>
        <v>80060.792979606747</v>
      </c>
      <c r="H121" s="2"/>
    </row>
    <row r="122" spans="2:8" x14ac:dyDescent="0.25">
      <c r="D122" s="30">
        <f>2*D116*($D$111/2-35)</f>
        <v>106747.72397280899</v>
      </c>
      <c r="E122" s="30">
        <f t="shared" ref="E122:F122" si="9">2*E116*($D$111/2-35)</f>
        <v>71165.149315205999</v>
      </c>
      <c r="F122" s="30">
        <f t="shared" si="9"/>
        <v>53373.861986404496</v>
      </c>
    </row>
    <row r="123" spans="2:8" x14ac:dyDescent="0.25">
      <c r="C123" s="2"/>
    </row>
    <row r="124" spans="2:8" x14ac:dyDescent="0.25">
      <c r="B124" s="2" t="s">
        <v>299</v>
      </c>
      <c r="C124" s="2"/>
      <c r="D124" s="30">
        <f>D121/$D$112</f>
        <v>17.079635835649441</v>
      </c>
      <c r="E124" s="30">
        <f t="shared" ref="E124:F125" si="10">E121/$D$112</f>
        <v>11.38642389043296</v>
      </c>
      <c r="F124" s="30">
        <f t="shared" si="10"/>
        <v>8.5398179178247204</v>
      </c>
    </row>
    <row r="125" spans="2:8" x14ac:dyDescent="0.25">
      <c r="C125" s="2"/>
      <c r="D125" s="30">
        <f>D122/$D$112</f>
        <v>11.38642389043296</v>
      </c>
      <c r="E125" s="30">
        <f t="shared" si="10"/>
        <v>7.5909492602886397</v>
      </c>
      <c r="F125" s="30">
        <f t="shared" si="10"/>
        <v>5.69321194521648</v>
      </c>
    </row>
    <row r="126" spans="2:8" x14ac:dyDescent="0.25">
      <c r="C126" s="2"/>
      <c r="E126" s="2"/>
    </row>
    <row r="127" spans="2:8" x14ac:dyDescent="0.25">
      <c r="B127" s="2" t="s">
        <v>265</v>
      </c>
      <c r="D127" s="30">
        <f>D118/$D$110/$D$109</f>
        <v>0.77634708343861081</v>
      </c>
      <c r="E127" s="30">
        <f t="shared" ref="E127:F128" si="11">E118/$D$110/$D$109</f>
        <v>0.51756472229240724</v>
      </c>
      <c r="F127" s="30">
        <f t="shared" si="11"/>
        <v>0.3881735417193054</v>
      </c>
    </row>
    <row r="128" spans="2:8" x14ac:dyDescent="0.25">
      <c r="B128" s="2"/>
      <c r="D128" s="30">
        <f>D119/$D$110/$D$109</f>
        <v>0.51756472229240724</v>
      </c>
      <c r="E128" s="30">
        <f t="shared" si="11"/>
        <v>0.3450431481949382</v>
      </c>
      <c r="F128" s="30">
        <f t="shared" si="11"/>
        <v>0.25878236114620362</v>
      </c>
    </row>
    <row r="130" spans="1:8" x14ac:dyDescent="0.25">
      <c r="B130" s="2" t="s">
        <v>266</v>
      </c>
      <c r="C130" s="2"/>
      <c r="D130" s="30">
        <f>SQRT(D124*D124+3*D127*D127)</f>
        <v>17.132486820665921</v>
      </c>
      <c r="E130" s="30">
        <f t="shared" ref="E130:F130" si="12">SQRT(E124*E124+3*E127*E127)</f>
        <v>11.421657880443947</v>
      </c>
      <c r="F130" s="30">
        <f t="shared" si="12"/>
        <v>8.5662434103329606</v>
      </c>
    </row>
    <row r="131" spans="1:8" x14ac:dyDescent="0.25">
      <c r="C131" s="2"/>
      <c r="D131" s="30">
        <f>SQRT(D125*D125+3*D128*D128)</f>
        <v>11.421657880443947</v>
      </c>
      <c r="E131" s="30">
        <f t="shared" ref="E131:F131" si="13">SQRT(E125*E125+3*E128*E128)</f>
        <v>7.6144385869626312</v>
      </c>
      <c r="F131" s="30">
        <f t="shared" si="13"/>
        <v>5.7108289402219734</v>
      </c>
    </row>
    <row r="132" spans="1:8" ht="13.8" thickBot="1" x14ac:dyDescent="0.3"/>
    <row r="133" spans="1:8" x14ac:dyDescent="0.25">
      <c r="B133" s="156" t="s">
        <v>298</v>
      </c>
      <c r="C133" s="157"/>
      <c r="D133" s="56" t="str">
        <f>IF(D130&lt;Gegevens!$D$18/Gegevens!$D$13,"1","0")</f>
        <v>1</v>
      </c>
      <c r="E133" s="56" t="str">
        <f>IF(E130&lt;Gegevens!$D$18/Gegevens!$D$13,"1","0")</f>
        <v>1</v>
      </c>
      <c r="F133" s="57" t="str">
        <f>IF(F130&lt;Gegevens!$D$18/Gegevens!$D$13,"1","0")</f>
        <v>1</v>
      </c>
      <c r="G133" s="2"/>
    </row>
    <row r="134" spans="1:8" ht="13.8" thickBot="1" x14ac:dyDescent="0.3">
      <c r="B134" s="142"/>
      <c r="C134" s="158"/>
      <c r="D134" s="64" t="str">
        <f>IF(D131&lt;Gegevens!$D$18/Gegevens!$D$13,"1","0")</f>
        <v>1</v>
      </c>
      <c r="E134" s="64" t="str">
        <f>IF(E131&lt;Gegevens!$D$18/Gegevens!$D$13,"1","0")</f>
        <v>1</v>
      </c>
      <c r="F134" s="65" t="str">
        <f>IF(F131&lt;Gegevens!$D$18/Gegevens!$D$13,"1","0")</f>
        <v>1</v>
      </c>
      <c r="G134" s="2"/>
    </row>
    <row r="135" spans="1:8" x14ac:dyDescent="0.25">
      <c r="C135" s="2"/>
      <c r="E135" s="2"/>
    </row>
    <row r="136" spans="1:8" x14ac:dyDescent="0.25">
      <c r="C136" s="2"/>
      <c r="E136" s="2"/>
    </row>
    <row r="137" spans="1:8" ht="15.6" x14ac:dyDescent="0.3">
      <c r="A137" s="161" t="s">
        <v>268</v>
      </c>
      <c r="C137" s="2"/>
      <c r="E137" s="2"/>
    </row>
    <row r="138" spans="1:8" x14ac:dyDescent="0.25">
      <c r="C138" s="2"/>
      <c r="E138" s="2"/>
    </row>
    <row r="139" spans="1:8" x14ac:dyDescent="0.25">
      <c r="B139" s="2" t="s">
        <v>269</v>
      </c>
      <c r="C139" s="2" t="s">
        <v>270</v>
      </c>
      <c r="E139" s="2"/>
      <c r="G139" s="96"/>
    </row>
    <row r="140" spans="1:8" x14ac:dyDescent="0.25">
      <c r="B140" s="2" t="s">
        <v>271</v>
      </c>
      <c r="C140" s="2">
        <f>Gegevens!C45</f>
        <v>400</v>
      </c>
      <c r="D140" s="2" t="s">
        <v>31</v>
      </c>
      <c r="E140" s="2" t="s">
        <v>311</v>
      </c>
      <c r="F140">
        <v>2.5</v>
      </c>
      <c r="G140" s="96"/>
      <c r="H140" s="2"/>
    </row>
    <row r="141" spans="1:8" x14ac:dyDescent="0.25">
      <c r="B141" s="2" t="s">
        <v>276</v>
      </c>
      <c r="C141" s="2">
        <f>Gegevens!C46</f>
        <v>240</v>
      </c>
      <c r="D141" s="2" t="s">
        <v>31</v>
      </c>
      <c r="E141" s="2" t="s">
        <v>314</v>
      </c>
      <c r="F141">
        <v>0.63</v>
      </c>
    </row>
    <row r="142" spans="1:8" x14ac:dyDescent="0.25">
      <c r="B142" s="2" t="s">
        <v>275</v>
      </c>
      <c r="C142" s="2">
        <f>0.64*C140</f>
        <v>256</v>
      </c>
      <c r="D142" s="2" t="s">
        <v>31</v>
      </c>
      <c r="E142" s="2" t="s">
        <v>312</v>
      </c>
      <c r="F142">
        <v>1</v>
      </c>
    </row>
    <row r="143" spans="1:8" x14ac:dyDescent="0.25">
      <c r="B143" s="2" t="s">
        <v>317</v>
      </c>
      <c r="C143" s="2">
        <f>Gegevens!C44*Gegevens!C44</f>
        <v>256</v>
      </c>
      <c r="D143" s="2" t="s">
        <v>273</v>
      </c>
      <c r="E143" s="2" t="s">
        <v>313</v>
      </c>
      <c r="F143">
        <v>1.25</v>
      </c>
    </row>
    <row r="144" spans="1:8" x14ac:dyDescent="0.25">
      <c r="B144" s="2" t="s">
        <v>318</v>
      </c>
      <c r="C144" s="202">
        <f>C143*PI()/2</f>
        <v>402.12385965949352</v>
      </c>
      <c r="D144" s="2" t="s">
        <v>273</v>
      </c>
      <c r="E144" s="2"/>
    </row>
    <row r="145" spans="2:10" x14ac:dyDescent="0.25">
      <c r="B145" s="2" t="s">
        <v>274</v>
      </c>
      <c r="C145" s="2">
        <f>C143*0.8</f>
        <v>204.8</v>
      </c>
      <c r="D145" s="2" t="s">
        <v>273</v>
      </c>
      <c r="E145" s="2"/>
    </row>
    <row r="146" spans="2:10" x14ac:dyDescent="0.25">
      <c r="C146" s="2"/>
      <c r="E146" s="2"/>
    </row>
    <row r="147" spans="2:10" x14ac:dyDescent="0.25">
      <c r="B147" s="2" t="s">
        <v>264</v>
      </c>
      <c r="C147" s="2"/>
      <c r="D147" s="30">
        <f>D115</f>
        <v>1455.6507814473953</v>
      </c>
      <c r="E147" s="30">
        <f t="shared" ref="E147:F148" si="14">E115</f>
        <v>970.43385429826355</v>
      </c>
      <c r="F147" s="30">
        <f t="shared" si="14"/>
        <v>727.82539072369764</v>
      </c>
      <c r="G147" s="2" t="s">
        <v>177</v>
      </c>
    </row>
    <row r="148" spans="2:10" x14ac:dyDescent="0.25">
      <c r="C148" s="2"/>
      <c r="D148" s="30">
        <f>D116</f>
        <v>970.43385429826355</v>
      </c>
      <c r="E148" s="30">
        <f t="shared" si="14"/>
        <v>646.95590286550907</v>
      </c>
      <c r="F148" s="30">
        <f t="shared" si="14"/>
        <v>485.21692714913178</v>
      </c>
    </row>
    <row r="149" spans="2:10" x14ac:dyDescent="0.25">
      <c r="C149" s="2"/>
      <c r="E149" s="2"/>
    </row>
    <row r="150" spans="2:10" x14ac:dyDescent="0.25">
      <c r="B150" s="201" t="s">
        <v>277</v>
      </c>
      <c r="C150" s="2"/>
      <c r="D150" s="30">
        <f>D118/4/2</f>
        <v>363.91269536184882</v>
      </c>
      <c r="E150" s="30">
        <f t="shared" ref="E150:F150" si="15">E118/4/2</f>
        <v>242.60846357456589</v>
      </c>
      <c r="F150" s="30">
        <f t="shared" si="15"/>
        <v>181.95634768092441</v>
      </c>
    </row>
    <row r="151" spans="2:10" x14ac:dyDescent="0.25">
      <c r="C151" s="2"/>
      <c r="D151" s="30">
        <f>D119/4/2</f>
        <v>242.60846357456589</v>
      </c>
      <c r="E151" s="30">
        <f t="shared" ref="E151:F151" si="16">E119/4/2</f>
        <v>161.73897571637727</v>
      </c>
      <c r="F151" s="30">
        <f t="shared" si="16"/>
        <v>121.30423178728294</v>
      </c>
    </row>
    <row r="152" spans="2:10" x14ac:dyDescent="0.25">
      <c r="C152" s="2"/>
      <c r="E152" s="2"/>
    </row>
    <row r="153" spans="2:10" ht="15.6" x14ac:dyDescent="0.3">
      <c r="B153" s="201" t="s">
        <v>265</v>
      </c>
      <c r="D153" s="30">
        <f>D150/$C$143</f>
        <v>1.4215339662572219</v>
      </c>
      <c r="E153" s="30">
        <f t="shared" ref="E153:F154" si="17">E150/$C$143</f>
        <v>0.947689310838148</v>
      </c>
      <c r="F153" s="30">
        <f t="shared" si="17"/>
        <v>0.71076698312861097</v>
      </c>
      <c r="J153" s="162"/>
    </row>
    <row r="154" spans="2:10" x14ac:dyDescent="0.25">
      <c r="B154" s="2"/>
      <c r="D154" s="30">
        <f>D151/$C$143</f>
        <v>0.947689310838148</v>
      </c>
      <c r="E154" s="30">
        <f t="shared" si="17"/>
        <v>0.63179287389209871</v>
      </c>
      <c r="F154" s="30">
        <f t="shared" si="17"/>
        <v>0.473844655419074</v>
      </c>
    </row>
    <row r="156" spans="2:10" x14ac:dyDescent="0.25">
      <c r="B156" s="2" t="s">
        <v>315</v>
      </c>
      <c r="C156" s="2"/>
      <c r="D156" s="16">
        <f>$F$140*$F$142*$C$140*$C$143/$F$143</f>
        <v>204800</v>
      </c>
      <c r="E156" s="16">
        <f t="shared" ref="E156:F157" si="18">$F$140*$F$142*$C$140*$C$143/$F$143</f>
        <v>204800</v>
      </c>
      <c r="F156" s="16">
        <f t="shared" si="18"/>
        <v>204800</v>
      </c>
      <c r="G156" s="2" t="s">
        <v>177</v>
      </c>
    </row>
    <row r="157" spans="2:10" x14ac:dyDescent="0.25">
      <c r="C157" s="2"/>
      <c r="D157" s="16">
        <f>$F$140*$F$142*$C$140*$C$143/$F$143</f>
        <v>204800</v>
      </c>
      <c r="E157" s="16">
        <f t="shared" si="18"/>
        <v>204800</v>
      </c>
      <c r="F157" s="16">
        <f t="shared" si="18"/>
        <v>204800</v>
      </c>
    </row>
    <row r="158" spans="2:10" ht="13.8" thickBot="1" x14ac:dyDescent="0.3"/>
    <row r="159" spans="2:10" x14ac:dyDescent="0.25">
      <c r="B159" s="156" t="s">
        <v>309</v>
      </c>
      <c r="C159" s="157"/>
      <c r="D159" s="56" t="str">
        <f>IF(D156&lt;Gegevens!$C$47&gt;$D$147,"1","0")</f>
        <v>1</v>
      </c>
      <c r="E159" s="56" t="str">
        <f>IF(E156&lt;Gegevens!$C$47&gt;$D$147,"1","0")</f>
        <v>1</v>
      </c>
      <c r="F159" s="57" t="str">
        <f>IF(F156&lt;Gegevens!$C$47&gt;$D$147,"1","0")</f>
        <v>1</v>
      </c>
      <c r="G159" s="2"/>
      <c r="H159" s="96"/>
    </row>
    <row r="160" spans="2:10" ht="13.8" thickBot="1" x14ac:dyDescent="0.3">
      <c r="B160" s="153" t="s">
        <v>310</v>
      </c>
      <c r="C160" s="158"/>
      <c r="D160" s="64" t="str">
        <f>IF(D157&lt;Gegevens!$C$47&gt;$D$147,"1","0")</f>
        <v>1</v>
      </c>
      <c r="E160" s="64" t="str">
        <f>IF(E157&lt;Gegevens!$C$47&gt;$D$147,"1","0")</f>
        <v>1</v>
      </c>
      <c r="F160" s="65" t="str">
        <f>IF(F157&lt;Gegevens!$C$47&gt;$D$147,"1","0")</f>
        <v>1</v>
      </c>
      <c r="G160" s="2"/>
    </row>
    <row r="161" spans="1:9" x14ac:dyDescent="0.25">
      <c r="C161" s="2"/>
      <c r="D161" s="30"/>
      <c r="E161" s="2"/>
      <c r="F161" s="32"/>
    </row>
    <row r="162" spans="1:9" x14ac:dyDescent="0.25">
      <c r="B162" s="2" t="s">
        <v>316</v>
      </c>
      <c r="D162" s="16">
        <f t="shared" ref="D162:F163" si="19">$F$141*$C$140*$C$145/$F$143</f>
        <v>41287.680000000008</v>
      </c>
      <c r="E162" s="16">
        <f t="shared" si="19"/>
        <v>41287.680000000008</v>
      </c>
      <c r="F162" s="16">
        <f t="shared" si="19"/>
        <v>41287.680000000008</v>
      </c>
    </row>
    <row r="163" spans="1:9" x14ac:dyDescent="0.25">
      <c r="C163" s="32"/>
      <c r="D163" s="16">
        <f t="shared" si="19"/>
        <v>41287.680000000008</v>
      </c>
      <c r="E163" s="16">
        <f t="shared" si="19"/>
        <v>41287.680000000008</v>
      </c>
      <c r="F163" s="16">
        <f t="shared" si="19"/>
        <v>41287.680000000008</v>
      </c>
      <c r="G163" s="2"/>
    </row>
    <row r="164" spans="1:9" ht="13.8" thickBot="1" x14ac:dyDescent="0.3">
      <c r="C164" s="32"/>
      <c r="D164" s="30"/>
      <c r="E164" s="152"/>
      <c r="F164" s="30"/>
      <c r="G164" s="2"/>
    </row>
    <row r="165" spans="1:9" x14ac:dyDescent="0.25">
      <c r="B165" s="163" t="s">
        <v>308</v>
      </c>
      <c r="C165" s="164"/>
      <c r="D165" s="56" t="str">
        <f>IF($D$162&gt;D147*Gegevens!$C$48,"1","0")</f>
        <v>1</v>
      </c>
      <c r="E165" s="56" t="str">
        <f>IF($D$162&gt;E147*Gegevens!$C$48,"1","0")</f>
        <v>1</v>
      </c>
      <c r="F165" s="57" t="str">
        <f>IF($D$162&gt;F147*Gegevens!$C$48,"1","0")</f>
        <v>1</v>
      </c>
      <c r="G165" s="2"/>
      <c r="H165" s="96"/>
      <c r="I165" s="2"/>
    </row>
    <row r="166" spans="1:9" ht="13.8" thickBot="1" x14ac:dyDescent="0.3">
      <c r="B166" s="153" t="s">
        <v>310</v>
      </c>
      <c r="C166" s="165"/>
      <c r="D166" s="64" t="str">
        <f>IF($D$162&gt;D148*Gegevens!$C$48,"1","0")</f>
        <v>1</v>
      </c>
      <c r="E166" s="64" t="str">
        <f>IF($D$162&gt;E148*Gegevens!$C$48,"1","0")</f>
        <v>1</v>
      </c>
      <c r="F166" s="65" t="str">
        <f>IF($D$162&gt;F148*Gegevens!$C$48,"1","0")</f>
        <v>1</v>
      </c>
      <c r="G166" s="2"/>
    </row>
    <row r="167" spans="1:9" x14ac:dyDescent="0.25">
      <c r="B167" s="2"/>
      <c r="C167" s="2"/>
      <c r="D167" s="30"/>
      <c r="E167" s="2"/>
      <c r="F167" s="32"/>
    </row>
    <row r="168" spans="1:9" x14ac:dyDescent="0.25">
      <c r="D168" s="30"/>
      <c r="E168" s="2"/>
      <c r="F168" s="32"/>
    </row>
    <row r="169" spans="1:9" x14ac:dyDescent="0.25">
      <c r="C169" s="32"/>
      <c r="D169" s="30"/>
      <c r="F169" s="32"/>
      <c r="G169" s="2"/>
    </row>
    <row r="170" spans="1:9" ht="13.8" thickBot="1" x14ac:dyDescent="0.3">
      <c r="C170" s="32"/>
      <c r="D170" s="30"/>
      <c r="E170" s="30"/>
      <c r="F170" s="30"/>
      <c r="G170" s="2"/>
    </row>
    <row r="171" spans="1:9" ht="16.2" thickBot="1" x14ac:dyDescent="0.35">
      <c r="A171" s="159" t="s">
        <v>278</v>
      </c>
      <c r="B171" s="79" t="s">
        <v>281</v>
      </c>
      <c r="C171" s="170"/>
      <c r="D171" s="171">
        <f>D73</f>
        <v>0.5</v>
      </c>
      <c r="E171" s="171">
        <f t="shared" ref="E171:F171" si="20">E73</f>
        <v>0.75</v>
      </c>
      <c r="F171" s="172">
        <f t="shared" si="20"/>
        <v>1</v>
      </c>
      <c r="G171" s="2"/>
    </row>
    <row r="172" spans="1:9" x14ac:dyDescent="0.25">
      <c r="B172" s="80"/>
      <c r="C172" s="90" t="s">
        <v>279</v>
      </c>
      <c r="D172" s="173">
        <f>SUM(D165+D159+D133+D104+D66)</f>
        <v>5</v>
      </c>
      <c r="E172" s="166">
        <f t="shared" ref="E172:F172" si="21">SUM(E165+E159+E133+E104+E66)</f>
        <v>5</v>
      </c>
      <c r="F172" s="167">
        <f t="shared" si="21"/>
        <v>5</v>
      </c>
    </row>
    <row r="173" spans="1:9" ht="13.8" thickBot="1" x14ac:dyDescent="0.3">
      <c r="B173" s="63"/>
      <c r="C173" s="101" t="s">
        <v>280</v>
      </c>
      <c r="D173" s="174">
        <f>SUM(D166+D160+D134+D105+D67)</f>
        <v>5</v>
      </c>
      <c r="E173" s="168">
        <f t="shared" ref="E173:F173" si="22">SUM(E166+E160+E134+E105+E67)</f>
        <v>5</v>
      </c>
      <c r="F173" s="169">
        <f t="shared" si="22"/>
        <v>5</v>
      </c>
    </row>
    <row r="175" spans="1:9" x14ac:dyDescent="0.25">
      <c r="C175" s="2"/>
    </row>
    <row r="177" spans="2:6" x14ac:dyDescent="0.25">
      <c r="C177" s="32"/>
    </row>
    <row r="178" spans="2:6" x14ac:dyDescent="0.25">
      <c r="C178" s="32"/>
      <c r="D178" s="30"/>
      <c r="E178" s="30"/>
      <c r="F178" s="30"/>
    </row>
    <row r="179" spans="2:6" x14ac:dyDescent="0.25">
      <c r="B179" s="2"/>
      <c r="C179" s="32"/>
      <c r="D179" s="151"/>
      <c r="E179" s="151"/>
      <c r="F179" s="151"/>
    </row>
    <row r="181" spans="2:6" x14ac:dyDescent="0.25">
      <c r="B181" s="2"/>
      <c r="C181" s="2"/>
    </row>
    <row r="183" spans="2:6" x14ac:dyDescent="0.25">
      <c r="C183" s="32"/>
    </row>
    <row r="184" spans="2:6" x14ac:dyDescent="0.25">
      <c r="C184" s="32"/>
      <c r="D184" s="30"/>
      <c r="E184" s="30"/>
      <c r="F184" s="30"/>
    </row>
    <row r="185" spans="2:6" x14ac:dyDescent="0.25">
      <c r="B185" s="2"/>
      <c r="C185" s="32"/>
      <c r="D185" s="151"/>
      <c r="E185" s="151"/>
      <c r="F185" s="151"/>
    </row>
  </sheetData>
  <sheetProtection password="CBEB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tabColor theme="4" tint="-0.499984740745262"/>
  </sheetPr>
  <dimension ref="A2:F115"/>
  <sheetViews>
    <sheetView workbookViewId="0">
      <selection activeCell="C72" sqref="C72"/>
    </sheetView>
  </sheetViews>
  <sheetFormatPr defaultRowHeight="13.2" x14ac:dyDescent="0.25"/>
  <cols>
    <col min="1" max="1" width="43" bestFit="1" customWidth="1"/>
    <col min="2" max="2" width="21.6640625" bestFit="1" customWidth="1"/>
    <col min="3" max="3" width="27.44140625" bestFit="1" customWidth="1"/>
    <col min="4" max="4" width="12.88671875" bestFit="1" customWidth="1"/>
  </cols>
  <sheetData>
    <row r="2" spans="1:4" x14ac:dyDescent="0.25">
      <c r="A2" s="32" t="s">
        <v>142</v>
      </c>
    </row>
    <row r="3" spans="1:4" ht="13.8" thickBot="1" x14ac:dyDescent="0.3"/>
    <row r="4" spans="1:4" x14ac:dyDescent="0.25">
      <c r="A4" s="79" t="s">
        <v>95</v>
      </c>
      <c r="B4" s="56"/>
      <c r="C4" s="57"/>
    </row>
    <row r="5" spans="1:4" ht="13.8" thickBot="1" x14ac:dyDescent="0.3">
      <c r="A5" s="63"/>
      <c r="B5" s="101" t="s">
        <v>96</v>
      </c>
      <c r="C5" s="65">
        <v>1.2</v>
      </c>
    </row>
    <row r="6" spans="1:4" ht="13.8" thickBot="1" x14ac:dyDescent="0.3">
      <c r="B6" s="2"/>
    </row>
    <row r="7" spans="1:4" ht="13.8" x14ac:dyDescent="0.3">
      <c r="A7" s="79" t="s">
        <v>188</v>
      </c>
      <c r="B7" s="56"/>
      <c r="C7" s="102" t="s">
        <v>93</v>
      </c>
      <c r="D7" s="103" t="s">
        <v>94</v>
      </c>
    </row>
    <row r="8" spans="1:4" x14ac:dyDescent="0.25">
      <c r="A8" s="62"/>
      <c r="B8" s="90" t="s">
        <v>91</v>
      </c>
      <c r="C8" s="89">
        <v>1.35</v>
      </c>
      <c r="D8" s="108">
        <v>1.2</v>
      </c>
    </row>
    <row r="9" spans="1:4" ht="13.8" thickBot="1" x14ac:dyDescent="0.3">
      <c r="A9" s="63"/>
      <c r="B9" s="101" t="s">
        <v>92</v>
      </c>
      <c r="C9" s="94">
        <v>1.5</v>
      </c>
      <c r="D9" s="100">
        <v>1.35</v>
      </c>
    </row>
    <row r="10" spans="1:4" x14ac:dyDescent="0.25">
      <c r="A10" s="104"/>
      <c r="B10" s="104"/>
      <c r="C10" s="104"/>
      <c r="D10" s="104"/>
    </row>
    <row r="11" spans="1:4" ht="13.8" thickBot="1" x14ac:dyDescent="0.3"/>
    <row r="12" spans="1:4" ht="13.8" x14ac:dyDescent="0.3">
      <c r="A12" s="79" t="s">
        <v>187</v>
      </c>
      <c r="B12" s="56"/>
      <c r="C12" s="57"/>
    </row>
    <row r="13" spans="1:4" x14ac:dyDescent="0.25">
      <c r="A13" s="62"/>
      <c r="B13" s="90" t="s">
        <v>85</v>
      </c>
      <c r="C13" s="108">
        <v>1.05</v>
      </c>
    </row>
    <row r="14" spans="1:4" x14ac:dyDescent="0.25">
      <c r="A14" s="62"/>
      <c r="B14" s="90" t="s">
        <v>86</v>
      </c>
      <c r="C14" s="108">
        <v>1.1499999999999999</v>
      </c>
    </row>
    <row r="15" spans="1:4" x14ac:dyDescent="0.25">
      <c r="A15" s="62"/>
      <c r="B15" s="90" t="s">
        <v>87</v>
      </c>
      <c r="C15" s="108">
        <v>1.35</v>
      </c>
    </row>
    <row r="16" spans="1:4" x14ac:dyDescent="0.25">
      <c r="A16" s="62"/>
      <c r="B16" s="90" t="s">
        <v>88</v>
      </c>
      <c r="C16" s="108">
        <v>1.5</v>
      </c>
    </row>
    <row r="17" spans="1:3" ht="13.8" thickBot="1" x14ac:dyDescent="0.3">
      <c r="A17" s="63"/>
      <c r="B17" s="101" t="s">
        <v>89</v>
      </c>
      <c r="C17" s="100">
        <v>1.8</v>
      </c>
    </row>
    <row r="18" spans="1:3" ht="13.8" thickBot="1" x14ac:dyDescent="0.3"/>
    <row r="19" spans="1:3" x14ac:dyDescent="0.25">
      <c r="A19" s="79" t="s">
        <v>97</v>
      </c>
      <c r="B19" s="56"/>
      <c r="C19" s="103" t="s">
        <v>144</v>
      </c>
    </row>
    <row r="20" spans="1:3" x14ac:dyDescent="0.25">
      <c r="A20" s="62"/>
      <c r="B20" s="90" t="s">
        <v>98</v>
      </c>
      <c r="C20" s="61" t="s">
        <v>108</v>
      </c>
    </row>
    <row r="21" spans="1:3" x14ac:dyDescent="0.25">
      <c r="A21" s="62"/>
      <c r="B21" s="90" t="s">
        <v>99</v>
      </c>
      <c r="C21" s="109">
        <v>400</v>
      </c>
    </row>
    <row r="22" spans="1:3" x14ac:dyDescent="0.25">
      <c r="A22" s="62"/>
      <c r="B22" s="90" t="s">
        <v>100</v>
      </c>
      <c r="C22" s="109">
        <v>600</v>
      </c>
    </row>
    <row r="23" spans="1:3" x14ac:dyDescent="0.25">
      <c r="A23" s="62"/>
      <c r="B23" s="90" t="s">
        <v>101</v>
      </c>
      <c r="C23" s="109">
        <v>800</v>
      </c>
    </row>
    <row r="24" spans="1:3" x14ac:dyDescent="0.25">
      <c r="A24" s="62"/>
      <c r="B24" s="90" t="s">
        <v>102</v>
      </c>
      <c r="C24" s="109">
        <v>900</v>
      </c>
    </row>
    <row r="25" spans="1:3" x14ac:dyDescent="0.25">
      <c r="A25" s="62"/>
      <c r="B25" s="90" t="s">
        <v>103</v>
      </c>
      <c r="C25" s="109">
        <v>1000</v>
      </c>
    </row>
    <row r="26" spans="1:3" x14ac:dyDescent="0.25">
      <c r="A26" s="62"/>
      <c r="B26" s="90" t="s">
        <v>104</v>
      </c>
      <c r="C26" s="109">
        <v>1200</v>
      </c>
    </row>
    <row r="27" spans="1:3" x14ac:dyDescent="0.25">
      <c r="A27" s="62"/>
      <c r="B27" s="90" t="s">
        <v>105</v>
      </c>
      <c r="C27" s="109">
        <v>1400</v>
      </c>
    </row>
    <row r="28" spans="1:3" x14ac:dyDescent="0.25">
      <c r="A28" s="62"/>
      <c r="B28" s="90" t="s">
        <v>106</v>
      </c>
      <c r="C28" s="109">
        <v>1500</v>
      </c>
    </row>
    <row r="29" spans="1:3" ht="13.8" thickBot="1" x14ac:dyDescent="0.3">
      <c r="A29" s="63"/>
      <c r="B29" s="101" t="s">
        <v>107</v>
      </c>
      <c r="C29" s="110">
        <v>1600</v>
      </c>
    </row>
    <row r="30" spans="1:3" ht="13.8" thickBot="1" x14ac:dyDescent="0.3"/>
    <row r="31" spans="1:3" ht="13.8" thickBot="1" x14ac:dyDescent="0.3">
      <c r="A31" s="105" t="s">
        <v>110</v>
      </c>
      <c r="B31" s="106"/>
      <c r="C31" s="111">
        <v>1.4</v>
      </c>
    </row>
    <row r="32" spans="1:3" ht="13.8" thickBot="1" x14ac:dyDescent="0.3"/>
    <row r="33" spans="1:3" x14ac:dyDescent="0.25">
      <c r="A33" s="79" t="s">
        <v>111</v>
      </c>
      <c r="B33" s="56"/>
      <c r="C33" s="57"/>
    </row>
    <row r="34" spans="1:3" x14ac:dyDescent="0.25">
      <c r="A34" s="62"/>
      <c r="B34" s="90" t="s">
        <v>59</v>
      </c>
      <c r="C34" s="61" t="s">
        <v>109</v>
      </c>
    </row>
    <row r="35" spans="1:3" x14ac:dyDescent="0.25">
      <c r="A35" s="62"/>
      <c r="B35" s="90" t="s">
        <v>112</v>
      </c>
      <c r="C35" s="61" t="s">
        <v>108</v>
      </c>
    </row>
    <row r="36" spans="1:3" x14ac:dyDescent="0.25">
      <c r="A36" s="62"/>
      <c r="B36" s="90" t="s">
        <v>113</v>
      </c>
      <c r="C36" s="112">
        <v>1.5</v>
      </c>
    </row>
    <row r="37" spans="1:3" x14ac:dyDescent="0.25">
      <c r="A37" s="62"/>
      <c r="B37" s="90" t="s">
        <v>114</v>
      </c>
      <c r="C37" s="112">
        <v>2.5</v>
      </c>
    </row>
    <row r="38" spans="1:3" x14ac:dyDescent="0.25">
      <c r="A38" s="62"/>
      <c r="B38" s="90" t="s">
        <v>115</v>
      </c>
      <c r="C38" s="112">
        <v>3</v>
      </c>
    </row>
    <row r="39" spans="1:3" ht="13.8" thickBot="1" x14ac:dyDescent="0.3">
      <c r="A39" s="63"/>
      <c r="B39" s="101" t="s">
        <v>116</v>
      </c>
      <c r="C39" s="113">
        <v>4</v>
      </c>
    </row>
    <row r="40" spans="1:3" ht="13.8" thickBot="1" x14ac:dyDescent="0.3"/>
    <row r="41" spans="1:3" x14ac:dyDescent="0.25">
      <c r="A41" s="79" t="s">
        <v>117</v>
      </c>
      <c r="B41" s="102" t="s">
        <v>118</v>
      </c>
      <c r="C41" s="103" t="s">
        <v>109</v>
      </c>
    </row>
    <row r="42" spans="1:3" x14ac:dyDescent="0.25">
      <c r="A42" s="62"/>
      <c r="B42" s="90" t="s">
        <v>119</v>
      </c>
      <c r="C42" s="61" t="s">
        <v>108</v>
      </c>
    </row>
    <row r="43" spans="1:3" x14ac:dyDescent="0.25">
      <c r="A43" s="62"/>
      <c r="B43" s="90" t="s">
        <v>120</v>
      </c>
      <c r="C43" s="112">
        <v>0.15</v>
      </c>
    </row>
    <row r="44" spans="1:3" x14ac:dyDescent="0.25">
      <c r="A44" s="62"/>
      <c r="B44" s="90" t="s">
        <v>121</v>
      </c>
      <c r="C44" s="112">
        <v>0.3</v>
      </c>
    </row>
    <row r="45" spans="1:3" x14ac:dyDescent="0.25">
      <c r="A45" s="62"/>
      <c r="B45" s="90" t="s">
        <v>122</v>
      </c>
      <c r="C45" s="112">
        <v>0.5</v>
      </c>
    </row>
    <row r="46" spans="1:3" x14ac:dyDescent="0.25">
      <c r="A46" s="62"/>
      <c r="B46" s="90" t="s">
        <v>123</v>
      </c>
      <c r="C46" s="112">
        <v>0.75</v>
      </c>
    </row>
    <row r="47" spans="1:3" ht="13.8" thickBot="1" x14ac:dyDescent="0.3">
      <c r="A47" s="63"/>
      <c r="B47" s="101" t="s">
        <v>124</v>
      </c>
      <c r="C47" s="113">
        <v>1</v>
      </c>
    </row>
    <row r="48" spans="1:3" ht="13.8" thickBot="1" x14ac:dyDescent="0.3"/>
    <row r="49" spans="1:3" x14ac:dyDescent="0.25">
      <c r="A49" s="79" t="s">
        <v>125</v>
      </c>
      <c r="B49" s="56"/>
      <c r="C49" s="57"/>
    </row>
    <row r="50" spans="1:3" ht="13.8" thickBot="1" x14ac:dyDescent="0.3">
      <c r="A50" s="63"/>
      <c r="B50" s="94">
        <v>0.56000000000000005</v>
      </c>
      <c r="C50" s="65"/>
    </row>
    <row r="51" spans="1:3" ht="13.8" thickBot="1" x14ac:dyDescent="0.3"/>
    <row r="52" spans="1:3" x14ac:dyDescent="0.25">
      <c r="A52" s="79" t="s">
        <v>126</v>
      </c>
      <c r="B52" s="56"/>
      <c r="C52" s="57"/>
    </row>
    <row r="53" spans="1:3" x14ac:dyDescent="0.25">
      <c r="A53" s="62"/>
      <c r="B53" s="90" t="s">
        <v>118</v>
      </c>
      <c r="C53" s="61" t="s">
        <v>60</v>
      </c>
    </row>
    <row r="54" spans="1:3" x14ac:dyDescent="0.25">
      <c r="A54" s="62"/>
      <c r="B54" s="90" t="s">
        <v>127</v>
      </c>
      <c r="C54" s="61" t="s">
        <v>108</v>
      </c>
    </row>
    <row r="55" spans="1:3" x14ac:dyDescent="0.25">
      <c r="A55" s="62"/>
      <c r="B55" s="90" t="s">
        <v>128</v>
      </c>
      <c r="C55" s="108">
        <v>2</v>
      </c>
    </row>
    <row r="56" spans="1:3" x14ac:dyDescent="0.25">
      <c r="A56" s="62"/>
      <c r="B56" s="90" t="s">
        <v>129</v>
      </c>
      <c r="C56" s="108">
        <v>5</v>
      </c>
    </row>
    <row r="57" spans="1:3" x14ac:dyDescent="0.25">
      <c r="A57" s="62"/>
      <c r="B57" s="90" t="s">
        <v>130</v>
      </c>
      <c r="C57" s="108">
        <v>10</v>
      </c>
    </row>
    <row r="58" spans="1:3" x14ac:dyDescent="0.25">
      <c r="A58" s="62"/>
      <c r="B58" s="90" t="s">
        <v>131</v>
      </c>
      <c r="C58" s="108">
        <v>25</v>
      </c>
    </row>
    <row r="59" spans="1:3" x14ac:dyDescent="0.25">
      <c r="A59" s="62"/>
      <c r="B59" s="90" t="s">
        <v>132</v>
      </c>
      <c r="C59" s="108">
        <v>50</v>
      </c>
    </row>
    <row r="60" spans="1:3" ht="13.8" thickBot="1" x14ac:dyDescent="0.3">
      <c r="A60" s="63"/>
      <c r="B60" s="101" t="s">
        <v>133</v>
      </c>
      <c r="C60" s="100">
        <v>100</v>
      </c>
    </row>
    <row r="61" spans="1:3" ht="13.8" thickBot="1" x14ac:dyDescent="0.3"/>
    <row r="62" spans="1:3" x14ac:dyDescent="0.25">
      <c r="A62" s="79" t="s">
        <v>134</v>
      </c>
      <c r="B62" s="56"/>
      <c r="C62" s="57"/>
    </row>
    <row r="63" spans="1:3" x14ac:dyDescent="0.25">
      <c r="A63" s="62"/>
      <c r="B63" s="90" t="s">
        <v>118</v>
      </c>
      <c r="C63" s="61" t="s">
        <v>60</v>
      </c>
    </row>
    <row r="64" spans="1:3" x14ac:dyDescent="0.25">
      <c r="A64" s="62"/>
      <c r="B64" s="90" t="s">
        <v>135</v>
      </c>
      <c r="C64" s="61" t="s">
        <v>108</v>
      </c>
    </row>
    <row r="65" spans="1:4" x14ac:dyDescent="0.25">
      <c r="A65" s="62"/>
      <c r="B65" s="90" t="s">
        <v>136</v>
      </c>
      <c r="C65" s="108">
        <v>0.02</v>
      </c>
      <c r="D65" s="87"/>
    </row>
    <row r="66" spans="1:4" x14ac:dyDescent="0.25">
      <c r="A66" s="62"/>
      <c r="B66" s="90" t="s">
        <v>137</v>
      </c>
      <c r="C66" s="108">
        <v>0.06</v>
      </c>
      <c r="D66" s="87"/>
    </row>
    <row r="67" spans="1:4" x14ac:dyDescent="0.25">
      <c r="A67" s="62"/>
      <c r="B67" s="90" t="s">
        <v>138</v>
      </c>
      <c r="C67" s="108">
        <v>0.11</v>
      </c>
      <c r="D67" s="87"/>
    </row>
    <row r="68" spans="1:4" x14ac:dyDescent="0.25">
      <c r="A68" s="62"/>
      <c r="B68" s="90" t="s">
        <v>139</v>
      </c>
      <c r="C68" s="108">
        <v>0.28999999999999998</v>
      </c>
      <c r="D68" s="87"/>
    </row>
    <row r="69" spans="1:4" x14ac:dyDescent="0.25">
      <c r="A69" s="62"/>
      <c r="B69" s="90" t="s">
        <v>140</v>
      </c>
      <c r="C69" s="108">
        <v>0.56999999999999995</v>
      </c>
      <c r="D69" s="87"/>
    </row>
    <row r="70" spans="1:4" ht="13.8" thickBot="1" x14ac:dyDescent="0.3">
      <c r="A70" s="63"/>
      <c r="B70" s="101" t="s">
        <v>141</v>
      </c>
      <c r="C70" s="100">
        <v>1.1499999999999999</v>
      </c>
      <c r="D70" s="87"/>
    </row>
    <row r="71" spans="1:4" ht="13.8" thickBot="1" x14ac:dyDescent="0.3"/>
    <row r="72" spans="1:4" x14ac:dyDescent="0.25">
      <c r="A72" s="79" t="s">
        <v>158</v>
      </c>
      <c r="B72" s="56"/>
      <c r="C72" s="57"/>
    </row>
    <row r="73" spans="1:4" x14ac:dyDescent="0.25">
      <c r="A73" s="62"/>
      <c r="B73" s="90" t="s">
        <v>160</v>
      </c>
      <c r="C73" s="61" t="s">
        <v>364</v>
      </c>
    </row>
    <row r="74" spans="1:4" x14ac:dyDescent="0.25">
      <c r="A74" s="62"/>
      <c r="B74" s="90" t="s">
        <v>161</v>
      </c>
      <c r="C74" s="61" t="s">
        <v>365</v>
      </c>
    </row>
    <row r="75" spans="1:4" x14ac:dyDescent="0.25">
      <c r="A75" s="62"/>
      <c r="B75" s="90" t="s">
        <v>162</v>
      </c>
      <c r="C75" s="61" t="s">
        <v>366</v>
      </c>
    </row>
    <row r="76" spans="1:4" x14ac:dyDescent="0.25">
      <c r="A76" s="62"/>
      <c r="B76" s="90" t="s">
        <v>163</v>
      </c>
      <c r="C76" s="61" t="s">
        <v>367</v>
      </c>
    </row>
    <row r="77" spans="1:4" ht="13.8" thickBot="1" x14ac:dyDescent="0.3">
      <c r="A77" s="63"/>
      <c r="B77" s="101" t="s">
        <v>164</v>
      </c>
      <c r="C77" s="107" t="s">
        <v>368</v>
      </c>
    </row>
    <row r="79" spans="1:4" x14ac:dyDescent="0.25">
      <c r="A79" s="2" t="s">
        <v>186</v>
      </c>
    </row>
    <row r="80" spans="1:4" ht="13.8" thickBot="1" x14ac:dyDescent="0.3"/>
    <row r="81" spans="1:6" x14ac:dyDescent="0.25">
      <c r="A81" s="72" t="s">
        <v>307</v>
      </c>
      <c r="B81" s="114">
        <v>51</v>
      </c>
      <c r="C81" s="114">
        <v>76</v>
      </c>
      <c r="D81" s="114">
        <v>89</v>
      </c>
      <c r="E81" s="114">
        <v>114</v>
      </c>
      <c r="F81" s="115">
        <v>133</v>
      </c>
    </row>
    <row r="82" spans="1:6" ht="13.8" thickBot="1" x14ac:dyDescent="0.3">
      <c r="A82" s="63" t="s">
        <v>306</v>
      </c>
      <c r="B82" s="99">
        <v>2.6</v>
      </c>
      <c r="C82" s="99">
        <v>2.9</v>
      </c>
      <c r="D82" s="99">
        <v>3.2</v>
      </c>
      <c r="E82" s="99">
        <v>3.6</v>
      </c>
      <c r="F82" s="116">
        <v>4</v>
      </c>
    </row>
    <row r="84" spans="1:6" ht="13.8" thickBot="1" x14ac:dyDescent="0.3"/>
    <row r="85" spans="1:6" x14ac:dyDescent="0.25">
      <c r="A85" s="72" t="s">
        <v>248</v>
      </c>
      <c r="B85" s="57"/>
    </row>
    <row r="86" spans="1:6" x14ac:dyDescent="0.25">
      <c r="A86" s="62" t="s">
        <v>250</v>
      </c>
      <c r="B86" s="108" t="s">
        <v>249</v>
      </c>
    </row>
    <row r="87" spans="1:6" x14ac:dyDescent="0.25">
      <c r="A87" s="62">
        <v>0.2</v>
      </c>
      <c r="B87" s="154">
        <v>1</v>
      </c>
    </row>
    <row r="88" spans="1:6" x14ac:dyDescent="0.25">
      <c r="A88" s="62">
        <v>0.3</v>
      </c>
      <c r="B88" s="154">
        <v>0.98</v>
      </c>
    </row>
    <row r="89" spans="1:6" x14ac:dyDescent="0.25">
      <c r="A89" s="62">
        <v>0.4</v>
      </c>
      <c r="B89" s="154">
        <v>0.95</v>
      </c>
    </row>
    <row r="90" spans="1:6" x14ac:dyDescent="0.25">
      <c r="A90" s="62">
        <v>0.5</v>
      </c>
      <c r="B90" s="154">
        <v>0.92</v>
      </c>
    </row>
    <row r="91" spans="1:6" x14ac:dyDescent="0.25">
      <c r="A91" s="62">
        <v>0.6</v>
      </c>
      <c r="B91" s="154">
        <v>0.89</v>
      </c>
    </row>
    <row r="92" spans="1:6" x14ac:dyDescent="0.25">
      <c r="A92" s="62">
        <v>0.7</v>
      </c>
      <c r="B92" s="154">
        <v>0.85</v>
      </c>
    </row>
    <row r="93" spans="1:6" x14ac:dyDescent="0.25">
      <c r="A93" s="62">
        <v>0.8</v>
      </c>
      <c r="B93" s="154">
        <v>0.8</v>
      </c>
    </row>
    <row r="94" spans="1:6" x14ac:dyDescent="0.25">
      <c r="A94" s="62">
        <v>0.9</v>
      </c>
      <c r="B94" s="154">
        <v>0.73</v>
      </c>
    </row>
    <row r="95" spans="1:6" x14ac:dyDescent="0.25">
      <c r="A95" s="62">
        <v>1</v>
      </c>
      <c r="B95" s="154">
        <v>0.67</v>
      </c>
    </row>
    <row r="96" spans="1:6" x14ac:dyDescent="0.25">
      <c r="A96" s="62">
        <v>1.1000000000000001</v>
      </c>
      <c r="B96" s="154">
        <v>0.6</v>
      </c>
    </row>
    <row r="97" spans="1:2" x14ac:dyDescent="0.25">
      <c r="A97" s="62">
        <v>1.2</v>
      </c>
      <c r="B97" s="154">
        <v>0.53</v>
      </c>
    </row>
    <row r="98" spans="1:2" x14ac:dyDescent="0.25">
      <c r="A98" s="62">
        <v>1.3</v>
      </c>
      <c r="B98" s="154">
        <v>0.47</v>
      </c>
    </row>
    <row r="99" spans="1:2" x14ac:dyDescent="0.25">
      <c r="A99" s="62">
        <v>1.4</v>
      </c>
      <c r="B99" s="154">
        <v>0.42</v>
      </c>
    </row>
    <row r="100" spans="1:2" x14ac:dyDescent="0.25">
      <c r="A100" s="62">
        <v>1.5</v>
      </c>
      <c r="B100" s="154">
        <v>0.37</v>
      </c>
    </row>
    <row r="101" spans="1:2" x14ac:dyDescent="0.25">
      <c r="A101" s="62">
        <v>1.6</v>
      </c>
      <c r="B101" s="154">
        <v>0.33</v>
      </c>
    </row>
    <row r="102" spans="1:2" x14ac:dyDescent="0.25">
      <c r="A102" s="62">
        <v>1.7</v>
      </c>
      <c r="B102" s="154">
        <v>0.3</v>
      </c>
    </row>
    <row r="103" spans="1:2" x14ac:dyDescent="0.25">
      <c r="A103" s="62">
        <v>1.8</v>
      </c>
      <c r="B103" s="154">
        <v>0.27</v>
      </c>
    </row>
    <row r="104" spans="1:2" x14ac:dyDescent="0.25">
      <c r="A104" s="62">
        <v>1.9</v>
      </c>
      <c r="B104" s="154">
        <v>0.24</v>
      </c>
    </row>
    <row r="105" spans="1:2" x14ac:dyDescent="0.25">
      <c r="A105" s="62">
        <v>2</v>
      </c>
      <c r="B105" s="154">
        <v>0.22</v>
      </c>
    </row>
    <row r="106" spans="1:2" x14ac:dyDescent="0.25">
      <c r="A106" s="62">
        <v>2.1</v>
      </c>
      <c r="B106" s="154">
        <v>0.2</v>
      </c>
    </row>
    <row r="107" spans="1:2" x14ac:dyDescent="0.25">
      <c r="A107" s="62">
        <v>2.2000000000000002</v>
      </c>
      <c r="B107" s="154">
        <v>0.19</v>
      </c>
    </row>
    <row r="108" spans="1:2" x14ac:dyDescent="0.25">
      <c r="A108" s="62">
        <v>2.2999999999999998</v>
      </c>
      <c r="B108" s="154">
        <v>0.17</v>
      </c>
    </row>
    <row r="109" spans="1:2" x14ac:dyDescent="0.25">
      <c r="A109" s="62">
        <v>2.4</v>
      </c>
      <c r="B109" s="154">
        <v>0.16</v>
      </c>
    </row>
    <row r="110" spans="1:2" x14ac:dyDescent="0.25">
      <c r="A110" s="62">
        <v>2.5</v>
      </c>
      <c r="B110" s="154">
        <v>0.15</v>
      </c>
    </row>
    <row r="111" spans="1:2" x14ac:dyDescent="0.25">
      <c r="A111" s="62">
        <v>2.6</v>
      </c>
      <c r="B111" s="154">
        <v>0.14000000000000001</v>
      </c>
    </row>
    <row r="112" spans="1:2" x14ac:dyDescent="0.25">
      <c r="A112" s="62">
        <v>2.7</v>
      </c>
      <c r="B112" s="154">
        <v>0.13</v>
      </c>
    </row>
    <row r="113" spans="1:2" x14ac:dyDescent="0.25">
      <c r="A113" s="62">
        <v>2.8</v>
      </c>
      <c r="B113" s="154">
        <v>0.12</v>
      </c>
    </row>
    <row r="114" spans="1:2" x14ac:dyDescent="0.25">
      <c r="A114" s="62">
        <v>2.9</v>
      </c>
      <c r="B114" s="154">
        <v>0.11</v>
      </c>
    </row>
    <row r="115" spans="1:2" ht="13.8" thickBot="1" x14ac:dyDescent="0.3">
      <c r="A115" s="63">
        <v>3</v>
      </c>
      <c r="B115" s="155">
        <v>0.1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tabColor theme="4" tint="-0.249977111117893"/>
  </sheetPr>
  <dimension ref="A2:V201"/>
  <sheetViews>
    <sheetView topLeftCell="A166" zoomScaleNormal="100" workbookViewId="0">
      <selection activeCell="D97" sqref="D97"/>
    </sheetView>
  </sheetViews>
  <sheetFormatPr defaultRowHeight="13.2" x14ac:dyDescent="0.25"/>
  <cols>
    <col min="1" max="1" width="8.44140625" customWidth="1"/>
    <col min="2" max="2" width="11.5546875" customWidth="1"/>
    <col min="3" max="3" width="29" customWidth="1"/>
    <col min="4" max="4" width="13.6640625" bestFit="1" customWidth="1"/>
    <col min="5" max="5" width="12.109375" bestFit="1" customWidth="1"/>
    <col min="6" max="6" width="10.33203125" customWidth="1"/>
    <col min="7" max="8" width="11.44140625" bestFit="1" customWidth="1"/>
  </cols>
  <sheetData>
    <row r="2" spans="2:8" ht="13.8" thickBot="1" x14ac:dyDescent="0.3">
      <c r="C2" t="s">
        <v>156</v>
      </c>
    </row>
    <row r="3" spans="2:8" x14ac:dyDescent="0.25">
      <c r="B3" s="79" t="s">
        <v>154</v>
      </c>
      <c r="C3" s="66">
        <v>1</v>
      </c>
      <c r="D3" s="44" t="str">
        <f>IFERROR( D97, "VAKWERK")</f>
        <v>VAKWERK</v>
      </c>
      <c r="E3" s="37" t="str">
        <f>IFERROR( D99, " ")</f>
        <v xml:space="preserve"> </v>
      </c>
      <c r="F3" s="67" t="str">
        <f>IFERROR( D98, " ")</f>
        <v xml:space="preserve"> </v>
      </c>
      <c r="G3" s="88" t="str">
        <f>IF(Gegevens!C22="ja",berekeningsprogramma!D122," ")</f>
        <v xml:space="preserve"> </v>
      </c>
      <c r="H3" s="30" t="str">
        <f>IF(Gegevens!C22="ja",G115," ")</f>
        <v xml:space="preserve"> </v>
      </c>
    </row>
    <row r="4" spans="2:8" x14ac:dyDescent="0.25">
      <c r="B4" s="80" t="s">
        <v>151</v>
      </c>
      <c r="C4" s="68">
        <v>2</v>
      </c>
      <c r="D4" s="45">
        <f>IFERROR( J97, "VAKWERK")</f>
        <v>114</v>
      </c>
      <c r="E4" s="7" t="str">
        <f>IFERROR( J99, " ")</f>
        <v>TDB3</v>
      </c>
      <c r="F4" s="53">
        <f>IFERROR( J98, " ")</f>
        <v>5.3117039436431623</v>
      </c>
    </row>
    <row r="5" spans="2:8" ht="13.8" thickBot="1" x14ac:dyDescent="0.3">
      <c r="B5" s="81" t="s">
        <v>152</v>
      </c>
      <c r="C5" s="69">
        <v>3</v>
      </c>
      <c r="D5" s="46">
        <f>IFERROR( P97, "VAKWERK")</f>
        <v>114</v>
      </c>
      <c r="E5" s="42" t="str">
        <f>IFERROR( P99, " ")</f>
        <v>TDB2</v>
      </c>
      <c r="F5" s="54">
        <f>IFERROR( P98, " ")</f>
        <v>3.5411359624287746</v>
      </c>
    </row>
    <row r="7" spans="2:8" ht="13.8" thickBot="1" x14ac:dyDescent="0.3"/>
    <row r="8" spans="2:8" x14ac:dyDescent="0.25">
      <c r="B8" s="79" t="s">
        <v>159</v>
      </c>
      <c r="C8" s="37" t="str">
        <f>'Invoer en resultaten'!C18</f>
        <v>Rechthoek</v>
      </c>
      <c r="D8" s="37"/>
      <c r="E8" s="37" t="str">
        <f>'Invoer en resultaten'!E18</f>
        <v>Hor. Zijde B (mm):</v>
      </c>
      <c r="F8" s="38">
        <f>'Invoer en resultaten'!F18</f>
        <v>3500</v>
      </c>
    </row>
    <row r="9" spans="2:8" x14ac:dyDescent="0.25">
      <c r="B9" s="62"/>
      <c r="C9" s="7"/>
      <c r="D9" s="7"/>
      <c r="E9" s="7" t="str">
        <f>'Invoer en resultaten'!E19</f>
        <v>ver.zijde H (mm):</v>
      </c>
      <c r="F9" s="40">
        <f>'Invoer en resultaten'!F19</f>
        <v>1000</v>
      </c>
    </row>
    <row r="10" spans="2:8" x14ac:dyDescent="0.25">
      <c r="B10" s="62"/>
      <c r="C10" s="7" t="str">
        <f>'Invoer en resultaten'!C20</f>
        <v>Hoogte onderkant = h1 (mm):</v>
      </c>
      <c r="D10" s="7"/>
      <c r="E10" s="7"/>
      <c r="F10" s="40">
        <f>'Invoer en resultaten'!F20</f>
        <v>1000</v>
      </c>
    </row>
    <row r="11" spans="2:8" x14ac:dyDescent="0.25">
      <c r="B11" s="62"/>
      <c r="C11" s="7" t="str">
        <f>'Invoer en resultaten'!C21</f>
        <v>X1 (mm)</v>
      </c>
      <c r="D11" s="7"/>
      <c r="E11" s="7"/>
      <c r="F11" s="40">
        <f>'Invoer en resultaten'!F21</f>
        <v>0</v>
      </c>
    </row>
    <row r="12" spans="2:8" x14ac:dyDescent="0.25">
      <c r="B12" s="62"/>
      <c r="C12" s="7"/>
      <c r="D12" s="7"/>
      <c r="E12" s="7"/>
      <c r="F12" s="40"/>
    </row>
    <row r="13" spans="2:8" x14ac:dyDescent="0.25">
      <c r="B13" s="80" t="s">
        <v>166</v>
      </c>
      <c r="C13" s="7" t="str">
        <f>'Invoer en resultaten'!C22</f>
        <v>Rond</v>
      </c>
      <c r="D13" s="7"/>
      <c r="E13" s="7" t="str">
        <f>VLOOKUP(C13,'constanten Norm'!B73:C77,2,FALSE)</f>
        <v>Diameter (mm) :</v>
      </c>
      <c r="F13" s="40">
        <f>'Invoer en resultaten'!F22</f>
        <v>1100</v>
      </c>
    </row>
    <row r="14" spans="2:8" x14ac:dyDescent="0.25">
      <c r="B14" s="62"/>
      <c r="C14" s="7"/>
      <c r="D14" s="7"/>
      <c r="E14" s="7" t="str">
        <f>IF(C13="rechthoek","ver.zijde H:",IF(C13="driehoek","4  zijde▼:"," "))</f>
        <v xml:space="preserve"> </v>
      </c>
      <c r="F14" s="40">
        <f>'Invoer en resultaten'!F23</f>
        <v>0</v>
      </c>
    </row>
    <row r="15" spans="2:8" x14ac:dyDescent="0.25">
      <c r="B15" s="62"/>
      <c r="C15" s="51" t="s">
        <v>165</v>
      </c>
      <c r="D15" s="7"/>
      <c r="E15" s="7"/>
      <c r="F15" s="40">
        <f>'Invoer en resultaten'!F24</f>
        <v>30</v>
      </c>
    </row>
    <row r="16" spans="2:8" x14ac:dyDescent="0.25">
      <c r="B16" s="62"/>
      <c r="C16" s="51" t="s">
        <v>371</v>
      </c>
      <c r="D16" s="7"/>
      <c r="E16" s="7"/>
      <c r="F16" s="40">
        <f>'Invoer en resultaten'!F25</f>
        <v>0</v>
      </c>
    </row>
    <row r="17" spans="1:11" x14ac:dyDescent="0.25">
      <c r="B17" s="62"/>
      <c r="C17" s="7"/>
      <c r="D17" s="7"/>
      <c r="E17" s="7"/>
      <c r="F17" s="40"/>
    </row>
    <row r="18" spans="1:11" x14ac:dyDescent="0.25">
      <c r="B18" s="80" t="s">
        <v>172</v>
      </c>
      <c r="C18" s="7" t="str">
        <f>'Invoer en resultaten'!C26</f>
        <v>Driehoek</v>
      </c>
      <c r="D18" s="7"/>
      <c r="E18" s="7" t="str">
        <f>VLOOKUP(C18,'constanten Norm'!B72:C77,2,FALSE)</f>
        <v>Zijde▲ (mm):</v>
      </c>
      <c r="F18" s="40">
        <f>'Invoer en resultaten'!F26</f>
        <v>0</v>
      </c>
    </row>
    <row r="19" spans="1:11" x14ac:dyDescent="0.25">
      <c r="B19" s="62"/>
      <c r="C19" s="7"/>
      <c r="D19" s="7"/>
      <c r="E19" s="7" t="str">
        <f>IF(C18="rechthoek","ver.zijde H:",IF(C18="driehoek","4  zijde▼:"," "))</f>
        <v>4  zijde▼:</v>
      </c>
      <c r="F19" s="40">
        <f>'Invoer en resultaten'!F27</f>
        <v>0</v>
      </c>
    </row>
    <row r="20" spans="1:11" x14ac:dyDescent="0.25">
      <c r="B20" s="62"/>
      <c r="C20" s="51" t="s">
        <v>165</v>
      </c>
      <c r="D20" s="7"/>
      <c r="E20" s="7"/>
      <c r="F20" s="40">
        <f>'Invoer en resultaten'!F28</f>
        <v>30</v>
      </c>
    </row>
    <row r="21" spans="1:11" ht="13.8" thickBot="1" x14ac:dyDescent="0.3">
      <c r="B21" s="63"/>
      <c r="C21" s="48" t="s">
        <v>372</v>
      </c>
      <c r="D21" s="42"/>
      <c r="E21" s="42"/>
      <c r="F21" s="43">
        <f>'Invoer en resultaten'!F29</f>
        <v>0</v>
      </c>
    </row>
    <row r="22" spans="1:11" x14ac:dyDescent="0.25">
      <c r="B22" s="7"/>
      <c r="C22" s="51"/>
      <c r="D22" s="7"/>
      <c r="E22" s="7"/>
      <c r="F22" s="7"/>
    </row>
    <row r="23" spans="1:11" x14ac:dyDescent="0.25">
      <c r="A23" s="2" t="s">
        <v>167</v>
      </c>
      <c r="C23" s="2"/>
    </row>
    <row r="24" spans="1:11" ht="13.8" thickBot="1" x14ac:dyDescent="0.3"/>
    <row r="25" spans="1:11" ht="13.8" thickBot="1" x14ac:dyDescent="0.3">
      <c r="A25" s="36" t="s">
        <v>4</v>
      </c>
      <c r="B25" s="37">
        <v>1</v>
      </c>
      <c r="C25" s="49" t="s">
        <v>160</v>
      </c>
      <c r="D25" s="37" t="s">
        <v>37</v>
      </c>
      <c r="E25" s="12">
        <f>IF($C$8=C25,$F$8,0)</f>
        <v>0</v>
      </c>
      <c r="F25" s="37"/>
      <c r="G25" s="37"/>
      <c r="H25" s="37" t="s">
        <v>42</v>
      </c>
      <c r="I25" s="38">
        <f>(E25/2)^2*PI()+E26*G26+E27^2*0.433+G27^2*0.433+E28^2*0.8284+E29^2/2</f>
        <v>3500000</v>
      </c>
    </row>
    <row r="26" spans="1:11" ht="13.8" thickBot="1" x14ac:dyDescent="0.3">
      <c r="A26" s="39"/>
      <c r="B26" s="7">
        <v>2</v>
      </c>
      <c r="C26" s="51" t="s">
        <v>161</v>
      </c>
      <c r="D26" s="7" t="s">
        <v>84</v>
      </c>
      <c r="E26" s="31">
        <f t="shared" ref="E26:E29" si="0">IF($C$8=C26,$F$8,0)</f>
        <v>3500</v>
      </c>
      <c r="F26" s="7" t="s">
        <v>83</v>
      </c>
      <c r="G26" s="23">
        <f>IF(C8=C26,F9,0)</f>
        <v>1000</v>
      </c>
      <c r="H26" s="7"/>
      <c r="I26" s="40"/>
      <c r="J26" s="2" t="s">
        <v>146</v>
      </c>
    </row>
    <row r="27" spans="1:11" ht="13.8" thickBot="1" x14ac:dyDescent="0.3">
      <c r="A27" s="39"/>
      <c r="B27" s="7">
        <v>3</v>
      </c>
      <c r="C27" s="51" t="s">
        <v>162</v>
      </c>
      <c r="D27" s="7" t="s">
        <v>39</v>
      </c>
      <c r="E27" s="31">
        <f t="shared" si="0"/>
        <v>0</v>
      </c>
      <c r="F27" s="7" t="s">
        <v>76</v>
      </c>
      <c r="G27" s="12">
        <f>IF(C27=C8,F9,0)</f>
        <v>0</v>
      </c>
      <c r="H27" s="7"/>
      <c r="I27" s="40"/>
      <c r="J27">
        <f>IF(SUM(E25:E30)&gt;0,1,0)</f>
        <v>1</v>
      </c>
      <c r="K27">
        <f>J27</f>
        <v>1</v>
      </c>
    </row>
    <row r="28" spans="1:11" ht="13.8" thickBot="1" x14ac:dyDescent="0.3">
      <c r="A28" s="39"/>
      <c r="B28" s="20">
        <v>5</v>
      </c>
      <c r="C28" s="51" t="s">
        <v>163</v>
      </c>
      <c r="D28" s="7" t="s">
        <v>37</v>
      </c>
      <c r="E28" s="31">
        <f t="shared" si="0"/>
        <v>0</v>
      </c>
      <c r="F28" s="7"/>
      <c r="G28" s="7"/>
      <c r="H28" s="7"/>
      <c r="I28" s="40"/>
      <c r="J28">
        <f>IF(SUM(E31:E36)&gt;0,1,0)</f>
        <v>1</v>
      </c>
      <c r="K28">
        <f>J28+J27</f>
        <v>2</v>
      </c>
    </row>
    <row r="29" spans="1:11" ht="13.8" thickBot="1" x14ac:dyDescent="0.3">
      <c r="A29" s="39"/>
      <c r="B29" s="20">
        <v>6</v>
      </c>
      <c r="C29" s="75" t="s">
        <v>164</v>
      </c>
      <c r="D29" s="20" t="s">
        <v>78</v>
      </c>
      <c r="E29" s="31">
        <f t="shared" si="0"/>
        <v>0</v>
      </c>
      <c r="F29" s="7"/>
      <c r="G29" s="7"/>
      <c r="H29" s="7"/>
      <c r="I29" s="40"/>
      <c r="J29">
        <f>IF(SUM(E37:E42)&gt;0,1,0)</f>
        <v>1</v>
      </c>
      <c r="K29">
        <f>J29+J28+J27</f>
        <v>3</v>
      </c>
    </row>
    <row r="30" spans="1:11" ht="13.8" thickBot="1" x14ac:dyDescent="0.3">
      <c r="A30" s="76"/>
      <c r="B30" s="10"/>
      <c r="C30" s="293" t="s">
        <v>6</v>
      </c>
      <c r="D30" s="294"/>
      <c r="E30" s="23">
        <f>F10</f>
        <v>1000</v>
      </c>
      <c r="F30" s="7"/>
      <c r="G30" s="10" t="s">
        <v>43</v>
      </c>
      <c r="H30" s="10"/>
      <c r="I30" s="77">
        <f>E30+E25/2+G26/2+E27/3+G27*2/3+E28/2+E29/2</f>
        <v>1500</v>
      </c>
    </row>
    <row r="31" spans="1:11" ht="13.8" thickBot="1" x14ac:dyDescent="0.3">
      <c r="A31" s="78" t="s">
        <v>5</v>
      </c>
      <c r="B31" s="4"/>
      <c r="C31" s="51" t="s">
        <v>160</v>
      </c>
      <c r="D31" s="4" t="s">
        <v>37</v>
      </c>
      <c r="E31" s="12">
        <f>IF($C$13=C25,$F$13,0)</f>
        <v>1100</v>
      </c>
      <c r="F31" s="4"/>
      <c r="G31" s="4"/>
      <c r="H31" s="4" t="s">
        <v>42</v>
      </c>
      <c r="I31" s="74">
        <f>(E31/2)^2*PI()+E32*G32+E33^2*0.433+G33^2*0.433+E34^2*0.8284+E35^2/2</f>
        <v>950331.7777109124</v>
      </c>
    </row>
    <row r="32" spans="1:11" ht="13.8" thickBot="1" x14ac:dyDescent="0.3">
      <c r="A32" s="39"/>
      <c r="B32" s="7"/>
      <c r="C32" s="51" t="s">
        <v>161</v>
      </c>
      <c r="D32" s="7" t="s">
        <v>38</v>
      </c>
      <c r="E32" s="12">
        <f t="shared" ref="E32:E35" si="1">IF($C$13=C26,$F$13,0)</f>
        <v>0</v>
      </c>
      <c r="F32" s="7" t="s">
        <v>41</v>
      </c>
      <c r="G32" s="23">
        <f>IF(C13=C32,F14,0)</f>
        <v>0</v>
      </c>
      <c r="H32" s="7"/>
      <c r="I32" s="40"/>
    </row>
    <row r="33" spans="1:9" ht="13.8" thickBot="1" x14ac:dyDescent="0.3">
      <c r="A33" s="39"/>
      <c r="B33" s="7"/>
      <c r="C33" s="51" t="s">
        <v>162</v>
      </c>
      <c r="D33" s="7" t="s">
        <v>39</v>
      </c>
      <c r="E33" s="12">
        <f t="shared" si="1"/>
        <v>0</v>
      </c>
      <c r="F33" s="7" t="s">
        <v>40</v>
      </c>
      <c r="G33" s="12">
        <f>IF(C33=C13,F14,0)</f>
        <v>0</v>
      </c>
      <c r="H33" s="7"/>
      <c r="I33" s="40"/>
    </row>
    <row r="34" spans="1:9" ht="13.8" thickBot="1" x14ac:dyDescent="0.3">
      <c r="A34" s="39"/>
      <c r="B34" s="7"/>
      <c r="C34" s="51" t="s">
        <v>163</v>
      </c>
      <c r="D34" s="7" t="s">
        <v>37</v>
      </c>
      <c r="E34" s="12">
        <f t="shared" si="1"/>
        <v>0</v>
      </c>
      <c r="F34" s="7"/>
      <c r="G34" s="7"/>
      <c r="H34" s="7"/>
      <c r="I34" s="40"/>
    </row>
    <row r="35" spans="1:9" ht="13.8" thickBot="1" x14ac:dyDescent="0.3">
      <c r="A35" s="39"/>
      <c r="B35" s="7"/>
      <c r="C35" s="75" t="s">
        <v>164</v>
      </c>
      <c r="D35" s="20" t="s">
        <v>78</v>
      </c>
      <c r="E35" s="12">
        <f t="shared" si="1"/>
        <v>0</v>
      </c>
      <c r="F35" s="7"/>
      <c r="G35" s="7"/>
      <c r="H35" s="7"/>
      <c r="I35" s="40"/>
    </row>
    <row r="36" spans="1:9" ht="13.8" thickBot="1" x14ac:dyDescent="0.3">
      <c r="A36" s="76"/>
      <c r="B36" s="10"/>
      <c r="C36" s="293" t="s">
        <v>6</v>
      </c>
      <c r="D36" s="294"/>
      <c r="E36" s="12">
        <f>F15</f>
        <v>30</v>
      </c>
      <c r="F36" s="7"/>
      <c r="G36" s="10" t="s">
        <v>43</v>
      </c>
      <c r="H36" s="10"/>
      <c r="I36" s="77">
        <f>E36+E31/2+G32/2+E33/3+G33*2/3+E34/2+E35/2+E30+E29+E28+G27+G26+E25</f>
        <v>2580</v>
      </c>
    </row>
    <row r="37" spans="1:9" ht="13.8" thickBot="1" x14ac:dyDescent="0.3">
      <c r="A37" s="78" t="s">
        <v>7</v>
      </c>
      <c r="B37" s="4"/>
      <c r="C37" s="51" t="s">
        <v>160</v>
      </c>
      <c r="D37" s="4" t="s">
        <v>37</v>
      </c>
      <c r="E37" s="12">
        <f>IF($C$18=C25,$F$18,0)</f>
        <v>0</v>
      </c>
      <c r="F37" s="4"/>
      <c r="G37" s="4"/>
      <c r="H37" s="4" t="s">
        <v>42</v>
      </c>
      <c r="I37" s="74">
        <f>(E37/2)^2*PI()+E38*G38+E39^2*0.433+G39^2*0.433+E40^2*0.8284+E41^2/2</f>
        <v>0</v>
      </c>
    </row>
    <row r="38" spans="1:9" ht="13.8" thickBot="1" x14ac:dyDescent="0.3">
      <c r="A38" s="39"/>
      <c r="B38" s="7"/>
      <c r="C38" s="51" t="s">
        <v>161</v>
      </c>
      <c r="D38" s="7" t="s">
        <v>38</v>
      </c>
      <c r="E38" s="12">
        <f t="shared" ref="E38:E41" si="2">IF($C$18=C26,$F$18,0)</f>
        <v>0</v>
      </c>
      <c r="F38" s="7" t="s">
        <v>41</v>
      </c>
      <c r="G38" s="23">
        <f>IF(C18=C38,F19,0)</f>
        <v>0</v>
      </c>
      <c r="H38" s="7"/>
      <c r="I38" s="40"/>
    </row>
    <row r="39" spans="1:9" ht="13.8" thickBot="1" x14ac:dyDescent="0.3">
      <c r="A39" s="39"/>
      <c r="B39" s="7"/>
      <c r="C39" s="51" t="s">
        <v>162</v>
      </c>
      <c r="D39" s="7" t="s">
        <v>39</v>
      </c>
      <c r="E39" s="12">
        <f t="shared" si="2"/>
        <v>0</v>
      </c>
      <c r="F39" s="7" t="s">
        <v>40</v>
      </c>
      <c r="G39" s="12">
        <f>IF(C39=C18,F19,0)</f>
        <v>0</v>
      </c>
      <c r="H39" s="7"/>
      <c r="I39" s="40"/>
    </row>
    <row r="40" spans="1:9" ht="13.8" thickBot="1" x14ac:dyDescent="0.3">
      <c r="A40" s="39"/>
      <c r="B40" s="7"/>
      <c r="C40" s="51" t="s">
        <v>163</v>
      </c>
      <c r="D40" s="7" t="s">
        <v>37</v>
      </c>
      <c r="E40" s="12">
        <f t="shared" si="2"/>
        <v>0</v>
      </c>
      <c r="F40" s="7"/>
      <c r="G40" s="7"/>
      <c r="H40" s="7"/>
      <c r="I40" s="40"/>
    </row>
    <row r="41" spans="1:9" ht="13.8" thickBot="1" x14ac:dyDescent="0.3">
      <c r="A41" s="39"/>
      <c r="B41" s="7"/>
      <c r="C41" s="75" t="s">
        <v>164</v>
      </c>
      <c r="D41" s="20" t="s">
        <v>78</v>
      </c>
      <c r="E41" s="12">
        <f t="shared" si="2"/>
        <v>0</v>
      </c>
      <c r="F41" s="7"/>
      <c r="G41" s="7"/>
      <c r="H41" s="7"/>
      <c r="I41" s="40"/>
    </row>
    <row r="42" spans="1:9" ht="13.8" thickBot="1" x14ac:dyDescent="0.3">
      <c r="A42" s="41"/>
      <c r="B42" s="42"/>
      <c r="C42" s="295" t="s">
        <v>6</v>
      </c>
      <c r="D42" s="296"/>
      <c r="E42" s="12">
        <f>F20</f>
        <v>30</v>
      </c>
      <c r="F42" s="42"/>
      <c r="G42" s="42" t="s">
        <v>43</v>
      </c>
      <c r="H42" s="42"/>
      <c r="I42" s="77">
        <f>E42+E37/2+G38/2+E39/3+G39*2/3+E40/2+E41/2+E36+E35+E34+G33+G32+E31+E30+E29+E28+G27+G26+E25</f>
        <v>3160</v>
      </c>
    </row>
    <row r="43" spans="1:9" x14ac:dyDescent="0.25">
      <c r="G43" t="s">
        <v>338</v>
      </c>
      <c r="I43">
        <f>(I25+I31+I37)/1000000</f>
        <v>4.4503317777109128</v>
      </c>
    </row>
    <row r="44" spans="1:9" x14ac:dyDescent="0.25">
      <c r="G44" t="s">
        <v>294</v>
      </c>
      <c r="I44">
        <f>E25+G26+G27+E28+E29+E30+E31+G32+G33+E34+E35+E36+E37+G38+G39+E40+E41+E42</f>
        <v>3160</v>
      </c>
    </row>
    <row r="45" spans="1:9" ht="15.6" x14ac:dyDescent="0.35">
      <c r="A45" t="s">
        <v>29</v>
      </c>
      <c r="C45" t="s">
        <v>30</v>
      </c>
      <c r="D45">
        <f>Gegevens!D18</f>
        <v>235</v>
      </c>
      <c r="E45" t="s">
        <v>31</v>
      </c>
    </row>
    <row r="46" spans="1:9" x14ac:dyDescent="0.25">
      <c r="A46" t="s">
        <v>18</v>
      </c>
      <c r="C46" s="2" t="s">
        <v>19</v>
      </c>
      <c r="D46" s="2">
        <f>'constanten Norm'!B81</f>
        <v>51</v>
      </c>
      <c r="E46" s="2">
        <f>'constanten Norm'!C81</f>
        <v>76</v>
      </c>
      <c r="F46" s="2">
        <f>'constanten Norm'!D81</f>
        <v>89</v>
      </c>
      <c r="G46" s="2">
        <f>'constanten Norm'!E81</f>
        <v>114</v>
      </c>
      <c r="H46" s="2">
        <f>'constanten Norm'!F81</f>
        <v>133</v>
      </c>
      <c r="I46" s="2" t="s">
        <v>147</v>
      </c>
    </row>
    <row r="47" spans="1:9" x14ac:dyDescent="0.25">
      <c r="A47" t="s">
        <v>20</v>
      </c>
      <c r="C47" s="2" t="s">
        <v>21</v>
      </c>
      <c r="D47" s="2">
        <f>'constanten Norm'!B82</f>
        <v>2.6</v>
      </c>
      <c r="E47" s="2">
        <f>'constanten Norm'!C82</f>
        <v>2.9</v>
      </c>
      <c r="F47" s="2">
        <f>'constanten Norm'!D82</f>
        <v>3.2</v>
      </c>
      <c r="G47" s="2">
        <f>'constanten Norm'!E82</f>
        <v>3.6</v>
      </c>
      <c r="H47" s="2">
        <f>'constanten Norm'!F82</f>
        <v>4</v>
      </c>
      <c r="I47" s="2" t="s">
        <v>147</v>
      </c>
    </row>
    <row r="48" spans="1:9" x14ac:dyDescent="0.25">
      <c r="A48" t="s">
        <v>22</v>
      </c>
      <c r="C48" s="2" t="s">
        <v>23</v>
      </c>
      <c r="D48" s="2">
        <f>D46-2*D47</f>
        <v>45.8</v>
      </c>
      <c r="E48" s="2">
        <f>E46-2*E47</f>
        <v>70.2</v>
      </c>
      <c r="F48" s="2">
        <f>F46-2*F47</f>
        <v>82.6</v>
      </c>
      <c r="G48" s="2">
        <f>G46-2*G47</f>
        <v>106.8</v>
      </c>
      <c r="H48" s="2">
        <f>H46-2*H47</f>
        <v>125</v>
      </c>
      <c r="I48" s="2" t="s">
        <v>147</v>
      </c>
    </row>
    <row r="49" spans="1:17" x14ac:dyDescent="0.25">
      <c r="A49" s="2" t="s">
        <v>24</v>
      </c>
      <c r="C49" t="s">
        <v>25</v>
      </c>
      <c r="D49" s="15">
        <f>3.14*(D$46^4-D$48^4)/64</f>
        <v>116038.08330400004</v>
      </c>
      <c r="E49" s="15">
        <f t="shared" ref="E49:H49" si="3">3.14*(E$46^4-E$48^4)/64</f>
        <v>445320.57752150006</v>
      </c>
      <c r="F49" s="15">
        <f t="shared" si="3"/>
        <v>794429.17382400041</v>
      </c>
      <c r="G49" s="15">
        <f t="shared" si="3"/>
        <v>1903316.154624</v>
      </c>
      <c r="H49" s="15">
        <f t="shared" si="3"/>
        <v>3373542.21</v>
      </c>
      <c r="I49" s="2" t="s">
        <v>148</v>
      </c>
      <c r="J49" s="2"/>
    </row>
    <row r="50" spans="1:17" x14ac:dyDescent="0.25">
      <c r="A50" t="s">
        <v>26</v>
      </c>
      <c r="C50" t="s">
        <v>27</v>
      </c>
      <c r="D50" s="15">
        <f>2*D$49/(D$46)</f>
        <v>4550.5130707450999</v>
      </c>
      <c r="E50" s="15">
        <f>2*E$49/(E$46)</f>
        <v>11718.962566355265</v>
      </c>
      <c r="F50" s="15">
        <f>2*F$49/(F$46)</f>
        <v>17852.340984808998</v>
      </c>
      <c r="G50" s="15">
        <f>2*G$49/(G$46)</f>
        <v>33391.511484631577</v>
      </c>
      <c r="H50" s="15">
        <f>2*H$49/(H$46)</f>
        <v>50729.958045112784</v>
      </c>
      <c r="I50" s="2" t="s">
        <v>149</v>
      </c>
    </row>
    <row r="51" spans="1:17" ht="15.6" x14ac:dyDescent="0.35">
      <c r="A51" t="s">
        <v>44</v>
      </c>
      <c r="C51" t="s">
        <v>28</v>
      </c>
      <c r="D51" s="15">
        <f>D$50*$D45/$C$58</f>
        <v>1018448.1634524746</v>
      </c>
      <c r="E51" s="15">
        <f t="shared" ref="E51:H51" si="4">E$50*$D45/$C$58</f>
        <v>2622815.4315176071</v>
      </c>
      <c r="F51" s="15">
        <f t="shared" si="4"/>
        <v>3995523.9346953472</v>
      </c>
      <c r="G51" s="15">
        <f t="shared" si="4"/>
        <v>7473338.284655639</v>
      </c>
      <c r="H51" s="15">
        <f t="shared" si="4"/>
        <v>11353847.752953814</v>
      </c>
      <c r="I51" s="2" t="s">
        <v>150</v>
      </c>
    </row>
    <row r="54" spans="1:17" x14ac:dyDescent="0.25">
      <c r="A54" t="s">
        <v>32</v>
      </c>
      <c r="C54">
        <f>Gegevens!D14</f>
        <v>900</v>
      </c>
      <c r="D54" t="s">
        <v>144</v>
      </c>
    </row>
    <row r="55" spans="1:17" x14ac:dyDescent="0.25">
      <c r="A55" t="s">
        <v>17</v>
      </c>
      <c r="C55">
        <f>Gegevens!C11</f>
        <v>1.5</v>
      </c>
    </row>
    <row r="56" spans="1:17" x14ac:dyDescent="0.25">
      <c r="A56" t="s">
        <v>16</v>
      </c>
      <c r="C56">
        <f>Gegevens!D12</f>
        <v>1.35</v>
      </c>
    </row>
    <row r="57" spans="1:17" x14ac:dyDescent="0.25">
      <c r="A57" t="s">
        <v>47</v>
      </c>
      <c r="B57" s="1"/>
      <c r="C57">
        <f>'constanten Norm'!B50</f>
        <v>0.56000000000000005</v>
      </c>
    </row>
    <row r="58" spans="1:17" x14ac:dyDescent="0.25">
      <c r="A58" t="s">
        <v>33</v>
      </c>
      <c r="C58">
        <f>Gegevens!D13</f>
        <v>1.05</v>
      </c>
    </row>
    <row r="60" spans="1:17" ht="15.6" x14ac:dyDescent="0.3">
      <c r="B60" s="117" t="s">
        <v>189</v>
      </c>
      <c r="C60" s="118"/>
    </row>
    <row r="62" spans="1:17" x14ac:dyDescent="0.25">
      <c r="C62" s="32" t="s">
        <v>145</v>
      </c>
      <c r="J62" s="32" t="s">
        <v>151</v>
      </c>
      <c r="P62" s="32" t="s">
        <v>152</v>
      </c>
    </row>
    <row r="63" spans="1:17" x14ac:dyDescent="0.25">
      <c r="C63" t="s">
        <v>54</v>
      </c>
      <c r="D63" t="s">
        <v>55</v>
      </c>
      <c r="J63" t="s">
        <v>54</v>
      </c>
      <c r="K63" t="s">
        <v>55</v>
      </c>
      <c r="P63" t="s">
        <v>54</v>
      </c>
      <c r="Q63" t="s">
        <v>55</v>
      </c>
    </row>
    <row r="64" spans="1:17" x14ac:dyDescent="0.25">
      <c r="A64" t="s">
        <v>34</v>
      </c>
      <c r="C64">
        <f>C54*C55*C56</f>
        <v>1822.5000000000002</v>
      </c>
      <c r="D64">
        <f>C54*C55*C57</f>
        <v>756.00000000000011</v>
      </c>
      <c r="J64">
        <f>C54*C55*C56/2</f>
        <v>911.25000000000011</v>
      </c>
      <c r="K64">
        <f>(D64)/2</f>
        <v>378.00000000000006</v>
      </c>
      <c r="P64">
        <f>C54*C55*C56/3</f>
        <v>607.50000000000011</v>
      </c>
      <c r="Q64">
        <f>(D64)/3</f>
        <v>252.00000000000003</v>
      </c>
    </row>
    <row r="65" spans="1:20" x14ac:dyDescent="0.25">
      <c r="A65" t="s">
        <v>35</v>
      </c>
      <c r="C65">
        <f>C64/1000000</f>
        <v>1.8225000000000003E-3</v>
      </c>
      <c r="D65">
        <f>D64/1000000</f>
        <v>7.5600000000000016E-4</v>
      </c>
      <c r="J65">
        <f>J64/1000000</f>
        <v>9.1125000000000017E-4</v>
      </c>
      <c r="K65">
        <f>K64/1000000</f>
        <v>3.7800000000000008E-4</v>
      </c>
      <c r="P65">
        <f>P64/1000000</f>
        <v>6.0750000000000008E-4</v>
      </c>
      <c r="Q65">
        <f>Q64/1000000</f>
        <v>2.5200000000000005E-4</v>
      </c>
    </row>
    <row r="66" spans="1:20" x14ac:dyDescent="0.25">
      <c r="A66" t="s">
        <v>8</v>
      </c>
      <c r="B66" t="s">
        <v>9</v>
      </c>
      <c r="C66">
        <f>C65*$I25</f>
        <v>6378.7500000000009</v>
      </c>
      <c r="D66">
        <f>D65*$I25</f>
        <v>2646.0000000000005</v>
      </c>
      <c r="E66" t="s">
        <v>177</v>
      </c>
      <c r="J66">
        <f>J65*$I25</f>
        <v>3189.3750000000005</v>
      </c>
      <c r="K66">
        <f>K65*$I25</f>
        <v>1323.0000000000002</v>
      </c>
      <c r="P66">
        <f>P65*$I25</f>
        <v>2126.2500000000005</v>
      </c>
      <c r="Q66">
        <f>Q65*I25</f>
        <v>882.00000000000023</v>
      </c>
    </row>
    <row r="67" spans="1:20" x14ac:dyDescent="0.25">
      <c r="B67" t="s">
        <v>10</v>
      </c>
      <c r="C67">
        <f>C65*$I31</f>
        <v>1731.9796648781382</v>
      </c>
      <c r="D67">
        <f>D65*$I31</f>
        <v>718.45082394944995</v>
      </c>
      <c r="E67" t="s">
        <v>177</v>
      </c>
      <c r="J67">
        <f>J65*$I31</f>
        <v>865.98983243906912</v>
      </c>
      <c r="K67">
        <f>K65*I31</f>
        <v>359.22541197472498</v>
      </c>
      <c r="P67">
        <f>P65*$I31</f>
        <v>577.32655495937934</v>
      </c>
      <c r="Q67">
        <f>Q65*$I31</f>
        <v>239.48360798314997</v>
      </c>
    </row>
    <row r="68" spans="1:20" x14ac:dyDescent="0.25">
      <c r="B68" t="s">
        <v>11</v>
      </c>
      <c r="C68">
        <f>C65*$I37</f>
        <v>0</v>
      </c>
      <c r="D68">
        <f>D65*$I37</f>
        <v>0</v>
      </c>
      <c r="E68" t="s">
        <v>177</v>
      </c>
      <c r="J68">
        <f>J65*$I37</f>
        <v>0</v>
      </c>
      <c r="K68">
        <f>K65*I37</f>
        <v>0</v>
      </c>
      <c r="P68">
        <f>P65*$I37</f>
        <v>0</v>
      </c>
      <c r="Q68">
        <f>Q65*$I37</f>
        <v>0</v>
      </c>
    </row>
    <row r="69" spans="1:20" x14ac:dyDescent="0.25">
      <c r="A69" t="s">
        <v>12</v>
      </c>
      <c r="B69" s="1" t="s">
        <v>13</v>
      </c>
      <c r="C69">
        <f>C66*$I30</f>
        <v>9568125.0000000019</v>
      </c>
      <c r="D69">
        <f>D66*$I30</f>
        <v>3969000.0000000005</v>
      </c>
      <c r="E69" t="s">
        <v>150</v>
      </c>
      <c r="J69">
        <f>J66*$I30</f>
        <v>4784062.5000000009</v>
      </c>
      <c r="K69">
        <f>K66*$I30</f>
        <v>1984500.0000000002</v>
      </c>
      <c r="P69">
        <f>P66*$I30</f>
        <v>3189375.0000000005</v>
      </c>
      <c r="Q69">
        <f>Q66*$I30</f>
        <v>1323000.0000000002</v>
      </c>
    </row>
    <row r="70" spans="1:20" x14ac:dyDescent="0.25">
      <c r="B70" s="1" t="s">
        <v>14</v>
      </c>
      <c r="C70">
        <f>C67*$I36</f>
        <v>4468507.5353855966</v>
      </c>
      <c r="D70">
        <f>D67*$I36</f>
        <v>1853603.1257895809</v>
      </c>
      <c r="E70" t="s">
        <v>150</v>
      </c>
      <c r="J70">
        <f>J67*$I36</f>
        <v>2234253.7676927983</v>
      </c>
      <c r="K70">
        <f>K67*$I36</f>
        <v>926801.56289479043</v>
      </c>
      <c r="P70">
        <f>P67*$I36</f>
        <v>1489502.5117951988</v>
      </c>
      <c r="Q70">
        <f>Q67*$I36</f>
        <v>617867.70859652688</v>
      </c>
    </row>
    <row r="71" spans="1:20" x14ac:dyDescent="0.25">
      <c r="B71" s="1" t="s">
        <v>15</v>
      </c>
      <c r="C71">
        <f>C68*$I42</f>
        <v>0</v>
      </c>
      <c r="D71">
        <f>D68*$I42</f>
        <v>0</v>
      </c>
      <c r="E71" t="s">
        <v>150</v>
      </c>
      <c r="J71">
        <f>J68*$I42</f>
        <v>0</v>
      </c>
      <c r="K71">
        <f>K68*$I42</f>
        <v>0</v>
      </c>
      <c r="P71">
        <f>P68*$I42</f>
        <v>0</v>
      </c>
      <c r="Q71">
        <f>Q68*$I42</f>
        <v>0</v>
      </c>
    </row>
    <row r="72" spans="1:20" ht="15.6" x14ac:dyDescent="0.35">
      <c r="B72" s="1" t="s">
        <v>36</v>
      </c>
      <c r="C72">
        <f>C69+C70+C71</f>
        <v>14036632.535385597</v>
      </c>
      <c r="D72">
        <f>D69+D70+D71</f>
        <v>5822603.1257895809</v>
      </c>
      <c r="E72" t="s">
        <v>150</v>
      </c>
      <c r="J72">
        <f>J69+J70+J71</f>
        <v>7018316.2676927987</v>
      </c>
      <c r="K72">
        <f>K69+K70+K71</f>
        <v>2911301.5628947904</v>
      </c>
      <c r="P72">
        <f>P69+P70+P71</f>
        <v>4678877.5117951995</v>
      </c>
      <c r="Q72">
        <f>Q69+Q70+Q71</f>
        <v>1940867.7085965271</v>
      </c>
    </row>
    <row r="73" spans="1:20" ht="15.6" x14ac:dyDescent="0.35">
      <c r="B73" s="1" t="s">
        <v>36</v>
      </c>
      <c r="C73">
        <f>C72/1000</f>
        <v>14036.632535385597</v>
      </c>
      <c r="D73">
        <f>D72/1000</f>
        <v>5822.6031257895811</v>
      </c>
      <c r="E73" t="s">
        <v>300</v>
      </c>
      <c r="J73">
        <f>J72/1000</f>
        <v>7018.3162676927986</v>
      </c>
      <c r="K73">
        <f>K72/1000</f>
        <v>2911.3015628947905</v>
      </c>
      <c r="P73">
        <f>P72/1000</f>
        <v>4678.8775117951991</v>
      </c>
      <c r="Q73">
        <f>Q72/1000</f>
        <v>1940.8677085965271</v>
      </c>
    </row>
    <row r="74" spans="1:20" x14ac:dyDescent="0.25">
      <c r="B74" s="1" t="s">
        <v>46</v>
      </c>
      <c r="C74">
        <f>Gegevens!D19</f>
        <v>210000</v>
      </c>
    </row>
    <row r="75" spans="1:20" x14ac:dyDescent="0.25">
      <c r="B75" s="1"/>
    </row>
    <row r="76" spans="1:20" x14ac:dyDescent="0.25">
      <c r="B76" s="1"/>
    </row>
    <row r="77" spans="1:20" x14ac:dyDescent="0.25">
      <c r="B77" s="1" t="s">
        <v>69</v>
      </c>
      <c r="D77" s="30">
        <f>$D$66*$I$30*$I$30*(3*$I$44-$I$30)/(6*$C$74*D49)</f>
        <v>324.94073433820864</v>
      </c>
      <c r="E77" s="30">
        <f t="shared" ref="E77:H77" si="5">$D$66*$I$30*$I$30*(3*$I$44-$I$30)/(6*$C$74*E49)</f>
        <v>84.670464162818945</v>
      </c>
      <c r="F77" s="30">
        <f t="shared" si="5"/>
        <v>47.462380841962087</v>
      </c>
      <c r="G77" s="30">
        <f t="shared" si="5"/>
        <v>19.810423984684103</v>
      </c>
      <c r="H77" s="30">
        <f t="shared" si="5"/>
        <v>11.176827694116804</v>
      </c>
      <c r="I77" t="s">
        <v>147</v>
      </c>
      <c r="J77" s="30">
        <f>$K$66*$I$30*$I$30*(3*$I$44-$I$30)/(6*$C$74*D49)</f>
        <v>162.47036716910432</v>
      </c>
      <c r="K77" s="30">
        <f t="shared" ref="K77:N77" si="6">$K$66*$I$30*$I$30*(3*$I$44-$I$30)/(6*$C$74*E49)</f>
        <v>42.335232081409472</v>
      </c>
      <c r="L77" s="30">
        <f t="shared" si="6"/>
        <v>23.731190420981044</v>
      </c>
      <c r="M77" s="30">
        <f t="shared" si="6"/>
        <v>9.9052119923420516</v>
      </c>
      <c r="N77" s="30">
        <f t="shared" si="6"/>
        <v>5.5884138470584022</v>
      </c>
      <c r="P77" s="30">
        <f>$Q$66*$I$30*$I$30*(3*$I$44-$I$30)/(6*$C$74*D49)</f>
        <v>108.31357811273621</v>
      </c>
      <c r="Q77" s="30">
        <f t="shared" ref="Q77:T77" si="7">$Q$66*$I$30*$I$30*(3*$I$44-$I$30)/(6*$C$74*E49)</f>
        <v>28.22348805427298</v>
      </c>
      <c r="R77" s="30">
        <f t="shared" si="7"/>
        <v>15.820793613987362</v>
      </c>
      <c r="S77" s="30">
        <f t="shared" si="7"/>
        <v>6.6034746615613678</v>
      </c>
      <c r="T77" s="30">
        <f t="shared" si="7"/>
        <v>3.725609231372268</v>
      </c>
    </row>
    <row r="78" spans="1:20" x14ac:dyDescent="0.25">
      <c r="B78" s="1" t="s">
        <v>70</v>
      </c>
      <c r="D78" s="30"/>
      <c r="E78" s="30"/>
      <c r="F78" s="30"/>
      <c r="G78" s="30"/>
      <c r="H78" s="30"/>
      <c r="J78" s="30"/>
      <c r="K78" s="30"/>
      <c r="L78" s="30"/>
      <c r="M78" s="30"/>
      <c r="N78" s="30"/>
      <c r="P78" s="30"/>
      <c r="Q78" s="30"/>
      <c r="R78" s="30"/>
      <c r="S78" s="30"/>
      <c r="T78" s="30"/>
    </row>
    <row r="79" spans="1:20" x14ac:dyDescent="0.25">
      <c r="B79" s="1" t="s">
        <v>71</v>
      </c>
      <c r="D79" s="30">
        <f>$D$67*$I$36*$I$36*(3*$I$44-$I$36)/(6*$C$74*D49)</f>
        <v>225.69111292825525</v>
      </c>
      <c r="E79" s="30">
        <f t="shared" ref="E79:H79" si="8">$D$67*$I$36*$I$36*(3*$I$44-$I$36)/(6*$C$74*E49)</f>
        <v>58.808789633524114</v>
      </c>
      <c r="F79" s="30">
        <f t="shared" si="8"/>
        <v>32.965511622491448</v>
      </c>
      <c r="G79" s="30">
        <f t="shared" si="8"/>
        <v>13.759544939140685</v>
      </c>
      <c r="H79" s="30">
        <f t="shared" si="8"/>
        <v>7.762986953390266</v>
      </c>
      <c r="I79" t="s">
        <v>147</v>
      </c>
      <c r="J79" s="30">
        <f>$K$67*$I$36*$I$36*(3*$I$44-$I$36)/(6*$C$74*D49)</f>
        <v>112.84555646412763</v>
      </c>
      <c r="K79" s="30">
        <f t="shared" ref="K79:N79" si="9">$K$67*$I$36*$I$36*(3*$I$44-$I$36)/(6*$C$74*E49)</f>
        <v>29.404394816762057</v>
      </c>
      <c r="L79" s="30">
        <f t="shared" si="9"/>
        <v>16.482755811245724</v>
      </c>
      <c r="M79" s="30">
        <f t="shared" si="9"/>
        <v>6.8797724695703426</v>
      </c>
      <c r="N79" s="30">
        <f t="shared" si="9"/>
        <v>3.881493476695133</v>
      </c>
      <c r="P79" s="30">
        <f>$Q$67*$I$36*$I$36*(3*$I$44-$I$36)/(6*$C$74*D49)</f>
        <v>75.230370976085069</v>
      </c>
      <c r="Q79" s="30">
        <f t="shared" ref="Q79:T79" si="10">$Q$67*$I$36*$I$36*(3*$I$44-$I$36)/(6*$C$74*E49)</f>
        <v>19.602929877841369</v>
      </c>
      <c r="R79" s="30">
        <f t="shared" si="10"/>
        <v>10.988503874163815</v>
      </c>
      <c r="S79" s="30">
        <f t="shared" si="10"/>
        <v>4.5865149797135603</v>
      </c>
      <c r="T79" s="30">
        <f t="shared" si="10"/>
        <v>2.587662317796755</v>
      </c>
    </row>
    <row r="80" spans="1:20" x14ac:dyDescent="0.25">
      <c r="B80" s="1" t="s">
        <v>72</v>
      </c>
      <c r="D80" s="30"/>
      <c r="E80" s="30"/>
      <c r="F80" s="30"/>
      <c r="G80" s="30"/>
      <c r="H80" s="30"/>
      <c r="J80" s="30"/>
      <c r="K80" s="30"/>
      <c r="L80" s="30"/>
      <c r="M80" s="30"/>
      <c r="N80" s="30"/>
      <c r="P80" s="30"/>
      <c r="Q80" s="30"/>
      <c r="R80" s="30"/>
      <c r="S80" s="30"/>
      <c r="T80" s="30"/>
    </row>
    <row r="81" spans="1:21" x14ac:dyDescent="0.25">
      <c r="B81" s="1" t="s">
        <v>73</v>
      </c>
      <c r="D81" s="30">
        <f>$D68*$I$42^3/(3*$C$74*D49)</f>
        <v>0</v>
      </c>
      <c r="E81" s="30">
        <f t="shared" ref="E81:H81" si="11">$D68*$I$42^3/(3*$C$74*E49)</f>
        <v>0</v>
      </c>
      <c r="F81" s="30">
        <f t="shared" si="11"/>
        <v>0</v>
      </c>
      <c r="G81" s="30">
        <f t="shared" si="11"/>
        <v>0</v>
      </c>
      <c r="H81" s="30">
        <f t="shared" si="11"/>
        <v>0</v>
      </c>
      <c r="I81" t="s">
        <v>147</v>
      </c>
      <c r="J81" s="30">
        <f>$K68*$I$42^3/(3*$C$74*D49)</f>
        <v>0</v>
      </c>
      <c r="K81" s="30">
        <f t="shared" ref="K81:N81" si="12">$K68*$I$42^3/(3*$C$74*E49)</f>
        <v>0</v>
      </c>
      <c r="L81" s="30">
        <f t="shared" si="12"/>
        <v>0</v>
      </c>
      <c r="M81" s="30">
        <f t="shared" si="12"/>
        <v>0</v>
      </c>
      <c r="N81" s="30">
        <f t="shared" si="12"/>
        <v>0</v>
      </c>
      <c r="P81" s="30">
        <f>$Q$68*$I$42^3/(3*$C$74*D49)</f>
        <v>0</v>
      </c>
      <c r="Q81" s="30">
        <f t="shared" ref="Q81:T81" si="13">$Q$68*$I$42^3/(3*$C$74*E49)</f>
        <v>0</v>
      </c>
      <c r="R81" s="30">
        <f t="shared" si="13"/>
        <v>0</v>
      </c>
      <c r="S81" s="30">
        <f t="shared" si="13"/>
        <v>0</v>
      </c>
      <c r="T81" s="30">
        <f t="shared" si="13"/>
        <v>0</v>
      </c>
    </row>
    <row r="82" spans="1:21" x14ac:dyDescent="0.25">
      <c r="B82" s="1" t="s">
        <v>74</v>
      </c>
      <c r="D82" s="30">
        <f>SUM(D77:D81)</f>
        <v>550.63184726646386</v>
      </c>
      <c r="E82" s="30">
        <f t="shared" ref="E82:H82" si="14">SUM(E77:E81)</f>
        <v>143.47925379634307</v>
      </c>
      <c r="F82" s="30">
        <f t="shared" si="14"/>
        <v>80.427892464453535</v>
      </c>
      <c r="G82" s="30">
        <f t="shared" si="14"/>
        <v>33.569968923824788</v>
      </c>
      <c r="H82" s="30">
        <f t="shared" si="14"/>
        <v>18.93981464750707</v>
      </c>
      <c r="I82" t="s">
        <v>147</v>
      </c>
      <c r="J82" s="30">
        <f>SUM(J77:J81)</f>
        <v>275.31592363323193</v>
      </c>
      <c r="K82" s="30">
        <f t="shared" ref="K82:N82" si="15">SUM(K77:K81)</f>
        <v>71.739626898171537</v>
      </c>
      <c r="L82" s="30">
        <f t="shared" si="15"/>
        <v>40.213946232226768</v>
      </c>
      <c r="M82" s="30">
        <f t="shared" si="15"/>
        <v>16.784984461912394</v>
      </c>
      <c r="N82" s="30">
        <f t="shared" si="15"/>
        <v>9.4699073237535352</v>
      </c>
      <c r="P82" s="30">
        <f>SUM(P77:P81)</f>
        <v>183.54394908882128</v>
      </c>
      <c r="Q82" s="30">
        <f t="shared" ref="Q82" si="16">SUM(Q77:Q81)</f>
        <v>47.826417932114353</v>
      </c>
      <c r="R82" s="30">
        <f t="shared" ref="R82" si="17">SUM(R77:R81)</f>
        <v>26.809297488151177</v>
      </c>
      <c r="S82" s="30">
        <f t="shared" ref="S82" si="18">SUM(S77:S81)</f>
        <v>11.189989641274927</v>
      </c>
      <c r="T82" s="30">
        <f t="shared" ref="T82" si="19">SUM(T77:T81)</f>
        <v>6.3132715491690234</v>
      </c>
    </row>
    <row r="83" spans="1:21" x14ac:dyDescent="0.25">
      <c r="B83" s="1" t="s">
        <v>75</v>
      </c>
      <c r="D83" s="30">
        <f>1000*D82/$I$44</f>
        <v>174.25058457799491</v>
      </c>
      <c r="E83" s="30">
        <f t="shared" ref="E83:H83" si="20">1000*E82/$I$44</f>
        <v>45.404827150741482</v>
      </c>
      <c r="F83" s="30">
        <f t="shared" si="20"/>
        <v>25.451864703940991</v>
      </c>
      <c r="G83" s="30">
        <f t="shared" si="20"/>
        <v>10.623407887286325</v>
      </c>
      <c r="H83" s="30">
        <f t="shared" si="20"/>
        <v>5.9936122302237571</v>
      </c>
      <c r="I83" t="s">
        <v>60</v>
      </c>
      <c r="J83" s="30">
        <f>1000*J82/$I$44</f>
        <v>87.125292288997457</v>
      </c>
      <c r="K83" s="30">
        <f t="shared" ref="K83" si="21">1000*K82/$I$44</f>
        <v>22.702413575370741</v>
      </c>
      <c r="L83" s="30">
        <f t="shared" ref="L83" si="22">1000*L82/$I$44</f>
        <v>12.725932351970496</v>
      </c>
      <c r="M83" s="30">
        <f t="shared" ref="M83" si="23">1000*M82/$I$44</f>
        <v>5.3117039436431623</v>
      </c>
      <c r="N83" s="30">
        <f t="shared" ref="N83" si="24">1000*N82/$I$44</f>
        <v>2.9968061151118786</v>
      </c>
      <c r="P83" s="30">
        <f>1000*P82/$I$44</f>
        <v>58.083528192664957</v>
      </c>
      <c r="Q83" s="30">
        <f t="shared" ref="Q83" si="25">1000*Q82/$I$44</f>
        <v>15.134942383580491</v>
      </c>
      <c r="R83" s="30">
        <f t="shared" ref="R83" si="26">1000*R82/$I$44</f>
        <v>8.4839549013136626</v>
      </c>
      <c r="S83" s="30">
        <f t="shared" ref="S83" si="27">1000*S82/$I$44</f>
        <v>3.5411359624287746</v>
      </c>
      <c r="T83" s="30">
        <f t="shared" ref="T83" si="28">1000*T82/$I$44</f>
        <v>1.9978707434079188</v>
      </c>
    </row>
    <row r="84" spans="1:21" x14ac:dyDescent="0.25">
      <c r="B84" s="1" t="s">
        <v>45</v>
      </c>
      <c r="D84" s="30"/>
      <c r="E84" s="30"/>
      <c r="F84" s="30"/>
      <c r="G84" s="30"/>
      <c r="H84" s="30"/>
      <c r="I84" s="96"/>
      <c r="J84" s="30">
        <f>$J$72/D49*D46/2</f>
        <v>1542.313176246656</v>
      </c>
      <c r="K84" s="30">
        <f t="shared" ref="K84:N84" si="29">$J$72/E49*E46/2</f>
        <v>598.88545832906243</v>
      </c>
      <c r="L84" s="30">
        <f t="shared" si="29"/>
        <v>393.13142593819265</v>
      </c>
      <c r="M84" s="30">
        <f t="shared" si="29"/>
        <v>210.18264689584282</v>
      </c>
      <c r="N84" s="30">
        <f t="shared" si="29"/>
        <v>138.34658135241509</v>
      </c>
      <c r="O84" s="96" t="s">
        <v>31</v>
      </c>
      <c r="P84" s="30">
        <f>$P$72/D49*D46/2</f>
        <v>1028.2087841644375</v>
      </c>
      <c r="Q84" s="30">
        <f t="shared" ref="Q84:T84" si="30">$P$72/E49*E46/2</f>
        <v>399.25697221937497</v>
      </c>
      <c r="R84" s="30">
        <f t="shared" si="30"/>
        <v>262.08761729212841</v>
      </c>
      <c r="S84" s="30">
        <f t="shared" si="30"/>
        <v>140.12176459722855</v>
      </c>
      <c r="T84" s="30">
        <f t="shared" si="30"/>
        <v>92.231054234943372</v>
      </c>
      <c r="U84" s="96" t="s">
        <v>31</v>
      </c>
    </row>
    <row r="85" spans="1:21" ht="13.8" thickBot="1" x14ac:dyDescent="0.3">
      <c r="B85" s="1"/>
    </row>
    <row r="86" spans="1:21" ht="14.4" thickTop="1" thickBot="1" x14ac:dyDescent="0.3">
      <c r="A86" t="s">
        <v>18</v>
      </c>
      <c r="C86" s="2" t="s">
        <v>19</v>
      </c>
      <c r="D86" s="33">
        <f>D46</f>
        <v>51</v>
      </c>
      <c r="E86" s="33">
        <f t="shared" ref="E86:H86" si="31">E46</f>
        <v>76</v>
      </c>
      <c r="F86" s="33">
        <f t="shared" si="31"/>
        <v>89</v>
      </c>
      <c r="G86" s="33">
        <f t="shared" si="31"/>
        <v>114</v>
      </c>
      <c r="H86" s="33">
        <f t="shared" si="31"/>
        <v>133</v>
      </c>
      <c r="J86" s="33">
        <f>D86</f>
        <v>51</v>
      </c>
      <c r="K86" s="33">
        <f t="shared" ref="K86:N86" si="32">E86</f>
        <v>76</v>
      </c>
      <c r="L86" s="33">
        <f t="shared" si="32"/>
        <v>89</v>
      </c>
      <c r="M86" s="33">
        <f t="shared" si="32"/>
        <v>114</v>
      </c>
      <c r="N86" s="33">
        <f t="shared" si="32"/>
        <v>133</v>
      </c>
      <c r="P86" s="33">
        <f>J86</f>
        <v>51</v>
      </c>
      <c r="Q86" s="33">
        <f t="shared" ref="Q86" si="33">K86</f>
        <v>76</v>
      </c>
      <c r="R86" s="33">
        <f t="shared" ref="R86" si="34">L86</f>
        <v>89</v>
      </c>
      <c r="S86" s="33">
        <f t="shared" ref="S86" si="35">M86</f>
        <v>114</v>
      </c>
      <c r="T86" s="33">
        <f t="shared" ref="T86" si="36">N86</f>
        <v>133</v>
      </c>
    </row>
    <row r="87" spans="1:21" ht="14.4" thickTop="1" thickBot="1" x14ac:dyDescent="0.3">
      <c r="B87" t="s">
        <v>53</v>
      </c>
      <c r="D87" s="14" t="str">
        <f>IF(D201&gt;1, IF(D95=TRUE,"neen","ja"),"neen")</f>
        <v>neen</v>
      </c>
      <c r="E87" s="14" t="str">
        <f>IF(E201&gt;1, IF(E95=TRUE,"neen","ja"),"neen")</f>
        <v>neen</v>
      </c>
      <c r="F87" s="14" t="str">
        <f>IF(F201&gt;1, IF(F95=TRUE,"neen","ja"),"neen")</f>
        <v>neen</v>
      </c>
      <c r="G87" s="14" t="str">
        <f>IF(G201&gt;1, IF(G95=TRUE,"neen","ja"),"neen")</f>
        <v>neen</v>
      </c>
      <c r="H87" s="14" t="str">
        <f>IF(H201&gt;1, IF(H95=TRUE,"neen","ja"),"neen")</f>
        <v>neen</v>
      </c>
      <c r="J87" s="14" t="str">
        <f>IF(K201&gt;1, IF(J95=TRUE,"neen","ja"),"neen")</f>
        <v>neen</v>
      </c>
      <c r="K87" s="14" t="str">
        <f>IF(L201&gt;1, IF(K95=TRUE,"neen","ja"),"neen")</f>
        <v>neen</v>
      </c>
      <c r="L87" s="14" t="str">
        <f>IF(M201&gt;1, IF(L95=TRUE,"neen","ja"),"neen")</f>
        <v>neen</v>
      </c>
      <c r="M87" s="14" t="str">
        <f>IF(N201&gt;1, IF(M95=TRUE,"neen","ja"),"neen")</f>
        <v>ja</v>
      </c>
      <c r="N87" s="14" t="str">
        <f>IF(O201&gt;1, IF(N95=TRUE,"neen","ja"),"neen")</f>
        <v>ja</v>
      </c>
      <c r="P87" s="14" t="str">
        <f>IF(R201&gt;1, IF(P95=TRUE,"neen","ja"),"neen")</f>
        <v>neen</v>
      </c>
      <c r="Q87" s="14" t="str">
        <f>IF(S201&gt;1, IF(Q95=TRUE,"neen","ja"),"neen")</f>
        <v>neen</v>
      </c>
      <c r="R87" s="14" t="str">
        <f>IF(T201&gt;1, IF(R95=TRUE,"neen","ja"),"neen")</f>
        <v>neen</v>
      </c>
      <c r="S87" s="14" t="str">
        <f>IF(U201&gt;1, IF(S95=TRUE,"neen","ja"),"neen")</f>
        <v>ja</v>
      </c>
      <c r="T87" s="14" t="str">
        <f>IF(V201&gt;1, IF(T95=TRUE,"neen","ja"),"neen")</f>
        <v>ja</v>
      </c>
    </row>
    <row r="88" spans="1:21" ht="3.75" customHeight="1" thickTop="1" thickBot="1" x14ac:dyDescent="0.3">
      <c r="D88" s="34">
        <f>D86</f>
        <v>51</v>
      </c>
      <c r="E88" s="34">
        <f t="shared" ref="E88:H88" si="37">E86</f>
        <v>76</v>
      </c>
      <c r="F88" s="34">
        <f t="shared" si="37"/>
        <v>89</v>
      </c>
      <c r="G88" s="34">
        <f t="shared" si="37"/>
        <v>114</v>
      </c>
      <c r="H88" s="34">
        <f t="shared" si="37"/>
        <v>133</v>
      </c>
      <c r="J88" s="34">
        <f>J86</f>
        <v>51</v>
      </c>
      <c r="K88" s="34">
        <f t="shared" ref="K88:N88" si="38">K86</f>
        <v>76</v>
      </c>
      <c r="L88" s="34">
        <f t="shared" si="38"/>
        <v>89</v>
      </c>
      <c r="M88" s="34">
        <f t="shared" si="38"/>
        <v>114</v>
      </c>
      <c r="N88" s="34">
        <f t="shared" si="38"/>
        <v>133</v>
      </c>
      <c r="P88" s="34">
        <f>P86</f>
        <v>51</v>
      </c>
      <c r="Q88" s="34">
        <f t="shared" ref="Q88:T88" si="39">Q86</f>
        <v>76</v>
      </c>
      <c r="R88" s="34">
        <f t="shared" si="39"/>
        <v>89</v>
      </c>
      <c r="S88" s="34">
        <f t="shared" si="39"/>
        <v>114</v>
      </c>
      <c r="T88" s="34">
        <f t="shared" si="39"/>
        <v>133</v>
      </c>
    </row>
    <row r="89" spans="1:21" ht="5.25" customHeight="1" thickTop="1" thickBot="1" x14ac:dyDescent="0.3">
      <c r="D89" s="35">
        <f>D83</f>
        <v>174.25058457799491</v>
      </c>
      <c r="E89" s="35">
        <f>E83</f>
        <v>45.404827150741482</v>
      </c>
      <c r="F89" s="35">
        <f>F83</f>
        <v>25.451864703940991</v>
      </c>
      <c r="G89" s="35">
        <f>G83</f>
        <v>10.623407887286325</v>
      </c>
      <c r="H89" s="35">
        <f>H83</f>
        <v>5.9936122302237571</v>
      </c>
      <c r="J89" s="35">
        <f>J83</f>
        <v>87.125292288997457</v>
      </c>
      <c r="K89" s="35">
        <f>K83</f>
        <v>22.702413575370741</v>
      </c>
      <c r="L89" s="35">
        <f>L83</f>
        <v>12.725932351970496</v>
      </c>
      <c r="M89" s="35">
        <f>M83</f>
        <v>5.3117039436431623</v>
      </c>
      <c r="N89" s="35">
        <f>N83</f>
        <v>2.9968061151118786</v>
      </c>
      <c r="P89" s="35">
        <f>P83</f>
        <v>58.083528192664957</v>
      </c>
      <c r="Q89" s="35">
        <f>Q83</f>
        <v>15.134942383580491</v>
      </c>
      <c r="R89" s="35">
        <f>R83</f>
        <v>8.4839549013136626</v>
      </c>
      <c r="S89" s="35">
        <f>S83</f>
        <v>3.5411359624287746</v>
      </c>
      <c r="T89" s="35">
        <f>T83</f>
        <v>1.9978707434079188</v>
      </c>
    </row>
    <row r="90" spans="1:21" ht="11.25" customHeight="1" thickTop="1" thickBot="1" x14ac:dyDescent="0.3">
      <c r="B90" s="2" t="s">
        <v>128</v>
      </c>
      <c r="C90">
        <v>2</v>
      </c>
      <c r="D90" s="14" t="str">
        <f>IF($C$90&gt;D83,"ja","neen")</f>
        <v>neen</v>
      </c>
      <c r="E90" s="14" t="str">
        <f t="shared" ref="E90:H90" si="40">IF($C$90&gt;E83,"ja","neen")</f>
        <v>neen</v>
      </c>
      <c r="F90" s="14" t="str">
        <f t="shared" si="40"/>
        <v>neen</v>
      </c>
      <c r="G90" s="14" t="str">
        <f t="shared" si="40"/>
        <v>neen</v>
      </c>
      <c r="H90" s="14" t="str">
        <f t="shared" si="40"/>
        <v>neen</v>
      </c>
      <c r="J90" s="14" t="str">
        <f>IF(J$83&lt;$C90,"ja","neen")</f>
        <v>neen</v>
      </c>
      <c r="K90" s="14" t="str">
        <f t="shared" ref="K90:N92" si="41">IF(K$83&lt;$C90,"ja","neen")</f>
        <v>neen</v>
      </c>
      <c r="L90" s="14" t="str">
        <f t="shared" si="41"/>
        <v>neen</v>
      </c>
      <c r="M90" s="14" t="str">
        <f t="shared" si="41"/>
        <v>neen</v>
      </c>
      <c r="N90" s="14" t="str">
        <f t="shared" si="41"/>
        <v>neen</v>
      </c>
      <c r="P90" s="14" t="str">
        <f>IF(P$83&lt;$C90,"ja","neen")</f>
        <v>neen</v>
      </c>
      <c r="Q90" s="14" t="str">
        <f t="shared" ref="Q90:T92" si="42">IF(Q$83&lt;$C90,"ja","neen")</f>
        <v>neen</v>
      </c>
      <c r="R90" s="14" t="str">
        <f t="shared" si="42"/>
        <v>neen</v>
      </c>
      <c r="S90" s="14" t="str">
        <f t="shared" si="42"/>
        <v>neen</v>
      </c>
      <c r="T90" s="14" t="str">
        <f t="shared" si="42"/>
        <v>ja</v>
      </c>
    </row>
    <row r="91" spans="1:21" ht="14.4" thickTop="1" thickBot="1" x14ac:dyDescent="0.3">
      <c r="B91" s="2" t="s">
        <v>129</v>
      </c>
      <c r="C91">
        <v>5</v>
      </c>
      <c r="D91" s="14" t="str">
        <f>IF($C$91&gt;D83,"ja","neen")</f>
        <v>neen</v>
      </c>
      <c r="E91" s="14" t="str">
        <f t="shared" ref="E91:H91" si="43">IF($C$91&gt;E83,"ja","neen")</f>
        <v>neen</v>
      </c>
      <c r="F91" s="14" t="str">
        <f t="shared" si="43"/>
        <v>neen</v>
      </c>
      <c r="G91" s="14" t="str">
        <f t="shared" si="43"/>
        <v>neen</v>
      </c>
      <c r="H91" s="14" t="str">
        <f t="shared" si="43"/>
        <v>neen</v>
      </c>
      <c r="J91" s="14" t="str">
        <f>IF(J$83&lt;$C91,"ja","neen")</f>
        <v>neen</v>
      </c>
      <c r="K91" s="14" t="str">
        <f t="shared" si="41"/>
        <v>neen</v>
      </c>
      <c r="L91" s="14" t="str">
        <f t="shared" si="41"/>
        <v>neen</v>
      </c>
      <c r="M91" s="14" t="str">
        <f t="shared" si="41"/>
        <v>neen</v>
      </c>
      <c r="N91" s="14" t="str">
        <f t="shared" si="41"/>
        <v>ja</v>
      </c>
      <c r="P91" s="14" t="str">
        <f>IF(P$83&lt;$C91,"ja","neen")</f>
        <v>neen</v>
      </c>
      <c r="Q91" s="14" t="str">
        <f t="shared" si="42"/>
        <v>neen</v>
      </c>
      <c r="R91" s="14" t="str">
        <f t="shared" si="42"/>
        <v>neen</v>
      </c>
      <c r="S91" s="14" t="str">
        <f t="shared" si="42"/>
        <v>ja</v>
      </c>
      <c r="T91" s="14" t="str">
        <f t="shared" si="42"/>
        <v>ja</v>
      </c>
    </row>
    <row r="92" spans="1:21" ht="14.4" thickTop="1" thickBot="1" x14ac:dyDescent="0.3">
      <c r="B92" s="2" t="s">
        <v>130</v>
      </c>
      <c r="C92">
        <v>10</v>
      </c>
      <c r="D92" s="14" t="str">
        <f>IF(D$83&gt;$C92,"neen","ja")</f>
        <v>neen</v>
      </c>
      <c r="E92" s="14" t="str">
        <f t="shared" ref="E92:H92" si="44">IF(E$83&gt;$C92,"neen","ja")</f>
        <v>neen</v>
      </c>
      <c r="F92" s="14" t="str">
        <f t="shared" si="44"/>
        <v>neen</v>
      </c>
      <c r="G92" s="14" t="str">
        <f t="shared" si="44"/>
        <v>neen</v>
      </c>
      <c r="H92" s="14" t="str">
        <f t="shared" si="44"/>
        <v>ja</v>
      </c>
      <c r="J92" s="14" t="str">
        <f>IF(J$83&lt;$C92,"ja","neen")</f>
        <v>neen</v>
      </c>
      <c r="K92" s="14" t="str">
        <f t="shared" si="41"/>
        <v>neen</v>
      </c>
      <c r="L92" s="14" t="str">
        <f t="shared" si="41"/>
        <v>neen</v>
      </c>
      <c r="M92" s="14" t="str">
        <f t="shared" si="41"/>
        <v>ja</v>
      </c>
      <c r="N92" s="14" t="str">
        <f t="shared" si="41"/>
        <v>ja</v>
      </c>
      <c r="P92" s="14" t="str">
        <f>IF(P$83&lt;$C92,"ja","neen")</f>
        <v>neen</v>
      </c>
      <c r="Q92" s="14" t="str">
        <f t="shared" si="42"/>
        <v>neen</v>
      </c>
      <c r="R92" s="14" t="str">
        <f t="shared" si="42"/>
        <v>ja</v>
      </c>
      <c r="S92" s="14" t="str">
        <f t="shared" si="42"/>
        <v>ja</v>
      </c>
      <c r="T92" s="14" t="str">
        <f t="shared" si="42"/>
        <v>ja</v>
      </c>
    </row>
    <row r="93" spans="1:21" ht="14.4" thickTop="1" thickBot="1" x14ac:dyDescent="0.3">
      <c r="B93" s="2" t="str">
        <f>IF(OR(Gegevens!C17='constanten Norm'!B59,Gegevens!C17='constanten Norm'!B58),"TDB4"," ")</f>
        <v>TDB4</v>
      </c>
      <c r="C93">
        <v>25</v>
      </c>
      <c r="D93" s="14" t="str">
        <f>IF($B$93="TDB4",IF(D$83&gt;$C93,"neen","ja")," ")</f>
        <v>neen</v>
      </c>
      <c r="E93" s="14" t="str">
        <f t="shared" ref="E93:H93" si="45">IF($B$93="TDB4",IF(E$83&gt;$C93,"neen","ja")," ")</f>
        <v>neen</v>
      </c>
      <c r="F93" s="14" t="str">
        <f t="shared" si="45"/>
        <v>neen</v>
      </c>
      <c r="G93" s="14" t="str">
        <f t="shared" si="45"/>
        <v>ja</v>
      </c>
      <c r="H93" s="14" t="str">
        <f t="shared" si="45"/>
        <v>ja</v>
      </c>
      <c r="J93" s="14" t="str">
        <f>IF($B$93="TDB4",IF(J$83&lt;$C93,"ja","neen")," ")</f>
        <v>neen</v>
      </c>
      <c r="K93" s="14" t="str">
        <f t="shared" ref="K93:N93" si="46">IF($B$93="TDB4",IF(K$83&lt;$C93,"ja","neen")," ")</f>
        <v>ja</v>
      </c>
      <c r="L93" s="14" t="str">
        <f t="shared" si="46"/>
        <v>ja</v>
      </c>
      <c r="M93" s="14" t="str">
        <f t="shared" si="46"/>
        <v>ja</v>
      </c>
      <c r="N93" s="14" t="str">
        <f t="shared" si="46"/>
        <v>ja</v>
      </c>
      <c r="P93" s="14" t="str">
        <f>IF($B$93="TDB4",IF(P$83&lt;$C93,"ja","neen")," ")</f>
        <v>neen</v>
      </c>
      <c r="Q93" s="14" t="str">
        <f t="shared" ref="Q93:T93" si="47">IF($B$93="TDB4",IF(Q$83&lt;$C93,"ja","neen")," ")</f>
        <v>ja</v>
      </c>
      <c r="R93" s="14" t="str">
        <f t="shared" si="47"/>
        <v>ja</v>
      </c>
      <c r="S93" s="14" t="str">
        <f t="shared" si="47"/>
        <v>ja</v>
      </c>
      <c r="T93" s="14" t="str">
        <f t="shared" si="47"/>
        <v>ja</v>
      </c>
    </row>
    <row r="94" spans="1:21" ht="14.4" thickTop="1" thickBot="1" x14ac:dyDescent="0.3">
      <c r="B94" s="2" t="str">
        <f>IF(Gegevens!C17='constanten Norm'!B59,"TDB5"," ")</f>
        <v>TDB5</v>
      </c>
      <c r="C94">
        <v>50</v>
      </c>
      <c r="D94" s="14" t="str">
        <f>IF($B$94="TDB5",IF(D$83&gt;$C94,"neen","ja")," ")</f>
        <v>neen</v>
      </c>
      <c r="E94" s="14" t="str">
        <f t="shared" ref="E94:H94" si="48">IF($B$94="TDB5",IF(E$83&gt;$C94,"neen","ja")," ")</f>
        <v>ja</v>
      </c>
      <c r="F94" s="14" t="str">
        <f t="shared" si="48"/>
        <v>ja</v>
      </c>
      <c r="G94" s="14" t="str">
        <f t="shared" si="48"/>
        <v>ja</v>
      </c>
      <c r="H94" s="14" t="str">
        <f t="shared" si="48"/>
        <v>ja</v>
      </c>
      <c r="J94" s="14" t="str">
        <f>IF($B$94="TDB5",IF(J$83&lt;$C94,"ja","neen")," ")</f>
        <v>neen</v>
      </c>
      <c r="K94" s="14" t="str">
        <f t="shared" ref="K94:N94" si="49">IF($B$94="TDB5",IF(K$83&lt;$C94,"ja","neen")," ")</f>
        <v>ja</v>
      </c>
      <c r="L94" s="14" t="str">
        <f t="shared" si="49"/>
        <v>ja</v>
      </c>
      <c r="M94" s="14" t="str">
        <f t="shared" si="49"/>
        <v>ja</v>
      </c>
      <c r="N94" s="14" t="str">
        <f t="shared" si="49"/>
        <v>ja</v>
      </c>
      <c r="P94" s="14" t="str">
        <f>IF($B$94="TDB5",IF(P$83&lt;$C94,"ja","neen")," ")</f>
        <v>neen</v>
      </c>
      <c r="Q94" s="14" t="str">
        <f t="shared" ref="Q94:T94" si="50">IF($B$94="TDB5",IF(Q$83&lt;$C94,"ja","neen")," ")</f>
        <v>ja</v>
      </c>
      <c r="R94" s="14" t="str">
        <f t="shared" si="50"/>
        <v>ja</v>
      </c>
      <c r="S94" s="14" t="str">
        <f t="shared" si="50"/>
        <v>ja</v>
      </c>
      <c r="T94" s="14" t="str">
        <f t="shared" si="50"/>
        <v>ja</v>
      </c>
    </row>
    <row r="95" spans="1:21" ht="13.8" thickTop="1" x14ac:dyDescent="0.25">
      <c r="B95" s="2" t="s">
        <v>212</v>
      </c>
      <c r="D95" t="b">
        <f>IF($B$94='constanten Norm'!$B$59,AND(D90="neen",D91="neen",D92="neen",D93="neen",D94="neen"),IF('constanten Norm'!$B$58=berekeningsprogramma!$B$93,AND(D90="neen",D91="neen",D92="neen",D93="neen"),AND(D90="neen",D91="neen",D92="neen")))</f>
        <v>1</v>
      </c>
      <c r="E95" t="b">
        <f>IF($B$94='constanten Norm'!$B$59,AND(E90="neen",E91="neen",E92="neen",E93="neen",E94="neen"),IF('constanten Norm'!$B$58=berekeningsprogramma!$B$93,AND(E90="neen",E91="neen",E92="neen",E93="neen"),AND(E90="neen",E91="neen",E92="neen")))</f>
        <v>0</v>
      </c>
      <c r="F95" t="b">
        <f>IF($B$94='constanten Norm'!$B$59,AND(F90="neen",F91="neen",F92="neen",F93="neen",F94="neen"),IF('constanten Norm'!$B$58=berekeningsprogramma!$B$93,AND(F90="neen",F91="neen",F92="neen",F93="neen"),AND(F90="neen",F91="neen",F92="neen")))</f>
        <v>0</v>
      </c>
      <c r="G95" t="b">
        <f>IF($B$94='constanten Norm'!$B$59,AND(G90="neen",G91="neen",G92="neen",G93="neen",G94="neen"),IF('constanten Norm'!$B$58=berekeningsprogramma!$B$93,AND(G90="neen",G91="neen",G92="neen",G93="neen"),AND(G90="neen",G91="neen",G92="neen")))</f>
        <v>0</v>
      </c>
      <c r="H95" t="b">
        <f>IF($B$94='constanten Norm'!$B$59,AND(H90="neen",H91="neen",H92="neen",H93="neen",H94="neen"),IF('constanten Norm'!$B$58=berekeningsprogramma!$B$93,AND(H90="neen",H91="neen",H92="neen",H93="neen"),AND(H90="neen",H91="neen",H92="neen")))</f>
        <v>0</v>
      </c>
      <c r="J95" t="b">
        <f>IF($B$94='constanten Norm'!$B$59,AND(J90="neen",J91="neen",J92="neen",J93="neen",J94="neen"),IF('constanten Norm'!$B$58=berekeningsprogramma!$B$93,AND(J90="neen",J91="neen",J92="neen",J93="neen"),AND(J90="neen",J91="neen",J92="neen")))</f>
        <v>1</v>
      </c>
      <c r="K95" t="b">
        <f>IF($B$94='constanten Norm'!$B$59,AND(K90="neen",K91="neen",K92="neen",K93="neen",K94="neen"),IF('constanten Norm'!$B$58=berekeningsprogramma!$B$93,AND(K90="neen",K91="neen",K92="neen",K93="neen"),AND(K90="neen",K91="neen",K92="neen")))</f>
        <v>0</v>
      </c>
      <c r="L95" t="b">
        <f>IF($B$94='constanten Norm'!$B$59,AND(L90="neen",L91="neen",L92="neen",L93="neen",L94="neen"),IF('constanten Norm'!$B$58=berekeningsprogramma!$B$93,AND(L90="neen",L91="neen",L92="neen",L93="neen"),AND(L90="neen",L91="neen",L92="neen")))</f>
        <v>0</v>
      </c>
      <c r="M95" t="b">
        <f>IF($B$94='constanten Norm'!$B$59,AND(M90="neen",M91="neen",M92="neen",M93="neen",M94="neen"),IF('constanten Norm'!$B$58=berekeningsprogramma!$B$93,AND(M90="neen",M91="neen",M92="neen",M93="neen"),AND(M90="neen",M91="neen",M92="neen")))</f>
        <v>0</v>
      </c>
      <c r="N95" t="b">
        <f>IF($B$94='constanten Norm'!$B$59,AND(N90="neen",N91="neen",N92="neen",N93="neen",N94="neen"),IF('constanten Norm'!$B$58=berekeningsprogramma!$B$93,AND(N90="neen",N91="neen",N92="neen",N93="neen"),AND(N90="neen",N91="neen",N92="neen")))</f>
        <v>0</v>
      </c>
      <c r="P95" t="b">
        <f>IF($B$94='constanten Norm'!$B$59,AND(P90="neen",P91="neen",P92="neen",P93="neen",P94="neen"),IF('constanten Norm'!$B$58=berekeningsprogramma!$B$93,AND(P90="neen",P91="neen",P92="neen",P93="neen"),AND(P90="neen",P91="neen",P92="neen")))</f>
        <v>1</v>
      </c>
      <c r="Q95" t="b">
        <f>IF($B$94='constanten Norm'!$B$59,AND(Q90="neen",Q91="neen",Q92="neen",Q93="neen",Q94="neen"),IF('constanten Norm'!$B$58=berekeningsprogramma!$B$93,AND(Q90="neen",Q91="neen",Q92="neen",Q93="neen"),AND(Q90="neen",Q91="neen",Q92="neen")))</f>
        <v>0</v>
      </c>
      <c r="R95" t="b">
        <f>IF($B$94='constanten Norm'!$B$59,AND(R90="neen",R91="neen",R92="neen",R93="neen",R94="neen"),IF('constanten Norm'!$B$58=berekeningsprogramma!$B$93,AND(R90="neen",R91="neen",R92="neen",R93="neen"),AND(R90="neen",R91="neen",R92="neen")))</f>
        <v>0</v>
      </c>
      <c r="S95" t="b">
        <f>IF($B$94='constanten Norm'!$B$59,AND(S90="neen",S91="neen",S92="neen",S93="neen",S94="neen"),IF('constanten Norm'!$B$58=berekeningsprogramma!$B$93,AND(S90="neen",S91="neen",S92="neen",S93="neen"),AND(S90="neen",S91="neen",S92="neen")))</f>
        <v>0</v>
      </c>
      <c r="T95" t="b">
        <f>IF($B$94='constanten Norm'!$B$59,AND(T90="neen",T91="neen",T92="neen",T93="neen",T94="neen"),IF('constanten Norm'!$B$58=berekeningsprogramma!$B$93,AND(T90="neen",T91="neen",T92="neen",T93="neen"),AND(T90="neen",T91="neen",T92="neen")))</f>
        <v>0</v>
      </c>
    </row>
    <row r="97" spans="1:19" x14ac:dyDescent="0.25">
      <c r="B97" s="2" t="s">
        <v>53</v>
      </c>
      <c r="D97" t="e">
        <f>HLOOKUP("ja",D87:H88,2,FALSE)</f>
        <v>#N/A</v>
      </c>
      <c r="J97">
        <f>HLOOKUP("ja",J87:N88,2,FALSE)</f>
        <v>114</v>
      </c>
      <c r="P97">
        <f>HLOOKUP("ja",P87:T88,2,FALSE)</f>
        <v>114</v>
      </c>
    </row>
    <row r="98" spans="1:19" x14ac:dyDescent="0.25">
      <c r="B98" s="2" t="s">
        <v>58</v>
      </c>
      <c r="D98" s="30" t="e">
        <f>HLOOKUP(D97,D88:H89,2,TRUE)</f>
        <v>#N/A</v>
      </c>
      <c r="J98" s="30">
        <f>HLOOKUP(J97,J88:N89,2,TRUE)</f>
        <v>5.3117039436431623</v>
      </c>
      <c r="P98">
        <f>HLOOKUP(P97,P88:T89,2,TRUE)</f>
        <v>3.5411359624287746</v>
      </c>
    </row>
    <row r="99" spans="1:19" ht="13.8" thickBot="1" x14ac:dyDescent="0.3">
      <c r="B99" s="2" t="s">
        <v>153</v>
      </c>
      <c r="D99" t="e">
        <f>VLOOKUP(2,F100:G104,2,FALSE)</f>
        <v>#N/A</v>
      </c>
      <c r="J99" t="str">
        <f>VLOOKUP(2,L100:M104,2,FALSE)</f>
        <v>TDB3</v>
      </c>
      <c r="P99" t="str">
        <f>VLOOKUP(2,R100:S104,2,FALSE)</f>
        <v>TDB2</v>
      </c>
    </row>
    <row r="100" spans="1:19" x14ac:dyDescent="0.25">
      <c r="D100" s="36">
        <v>1</v>
      </c>
      <c r="E100" s="37" t="e">
        <f>IF(D101=0,1,0)</f>
        <v>#N/A</v>
      </c>
      <c r="F100" s="37" t="e">
        <f>E100+D100</f>
        <v>#N/A</v>
      </c>
      <c r="G100" s="50" t="s">
        <v>128</v>
      </c>
      <c r="J100" s="36">
        <v>1</v>
      </c>
      <c r="K100" s="37">
        <f>IF(J101=0,1,0)</f>
        <v>0</v>
      </c>
      <c r="L100" s="37">
        <f>K100+J100</f>
        <v>1</v>
      </c>
      <c r="M100" s="50" t="s">
        <v>128</v>
      </c>
      <c r="P100" s="36">
        <v>1</v>
      </c>
      <c r="Q100" s="37">
        <f>IF(P101=0,1,0)</f>
        <v>0</v>
      </c>
      <c r="R100" s="37">
        <f>Q100+P100</f>
        <v>1</v>
      </c>
      <c r="S100" s="50" t="s">
        <v>128</v>
      </c>
    </row>
    <row r="101" spans="1:19" x14ac:dyDescent="0.25">
      <c r="D101" s="39" t="e">
        <f>IF($D$98&gt;2,1,0)</f>
        <v>#N/A</v>
      </c>
      <c r="E101" s="7" t="e">
        <f>IF(D102=0,1,0)</f>
        <v>#N/A</v>
      </c>
      <c r="F101" s="7" t="e">
        <f>E101+D101</f>
        <v>#N/A</v>
      </c>
      <c r="G101" s="52" t="s">
        <v>129</v>
      </c>
      <c r="J101" s="39">
        <f>IF($J$98&gt;2,1,0)</f>
        <v>1</v>
      </c>
      <c r="K101" s="7">
        <f>IF(J102=0,1,0)</f>
        <v>0</v>
      </c>
      <c r="L101" s="7">
        <f>K101+J101</f>
        <v>1</v>
      </c>
      <c r="M101" s="52" t="s">
        <v>129</v>
      </c>
      <c r="P101" s="39">
        <f>IF(P98&gt;2,1,0)</f>
        <v>1</v>
      </c>
      <c r="Q101" s="7">
        <f>IF(P102=0,1,0)</f>
        <v>1</v>
      </c>
      <c r="R101" s="7">
        <f>Q101+P101</f>
        <v>2</v>
      </c>
      <c r="S101" s="52" t="s">
        <v>129</v>
      </c>
    </row>
    <row r="102" spans="1:19" x14ac:dyDescent="0.25">
      <c r="D102" s="39" t="e">
        <f>IF(D98&gt;5,1,0)</f>
        <v>#N/A</v>
      </c>
      <c r="E102" s="7" t="e">
        <f>IF(D103=0,1,0)</f>
        <v>#N/A</v>
      </c>
      <c r="F102" s="7" t="e">
        <f>E102+D102</f>
        <v>#N/A</v>
      </c>
      <c r="G102" s="52" t="s">
        <v>130</v>
      </c>
      <c r="J102" s="39">
        <f>IF(J98&gt;5,1,0)</f>
        <v>1</v>
      </c>
      <c r="K102" s="7">
        <f>IF(J103=0,1,0)</f>
        <v>1</v>
      </c>
      <c r="L102" s="7">
        <f>K102+J102</f>
        <v>2</v>
      </c>
      <c r="M102" s="52" t="s">
        <v>130</v>
      </c>
      <c r="P102" s="39">
        <f>IF(P98&gt;5,1,0)</f>
        <v>0</v>
      </c>
      <c r="Q102" s="7">
        <f>IF(P103=0,1,0)</f>
        <v>1</v>
      </c>
      <c r="R102" s="7">
        <f>Q102+P102</f>
        <v>1</v>
      </c>
      <c r="S102" s="52" t="s">
        <v>130</v>
      </c>
    </row>
    <row r="103" spans="1:19" x14ac:dyDescent="0.25">
      <c r="D103" s="39" t="e">
        <f>IF(D98&gt;10,1,0)</f>
        <v>#N/A</v>
      </c>
      <c r="E103" s="7" t="e">
        <f>IF(D104=0,1,0)</f>
        <v>#N/A</v>
      </c>
      <c r="F103" s="7" t="e">
        <f>E103+D103</f>
        <v>#N/A</v>
      </c>
      <c r="G103" s="52" t="s">
        <v>131</v>
      </c>
      <c r="J103" s="39">
        <f>IF(J98&gt;10,1,0)</f>
        <v>0</v>
      </c>
      <c r="K103" s="7">
        <f>IF(J104=0,1,0)</f>
        <v>1</v>
      </c>
      <c r="L103" s="7">
        <f>K103+J103</f>
        <v>1</v>
      </c>
      <c r="M103" s="52" t="s">
        <v>131</v>
      </c>
      <c r="P103" s="39">
        <f>IF(P98&gt;10,1,0)</f>
        <v>0</v>
      </c>
      <c r="Q103" s="7">
        <f>IF(P104=0,1,0)</f>
        <v>1</v>
      </c>
      <c r="R103" s="7">
        <f>Q103+P103</f>
        <v>1</v>
      </c>
      <c r="S103" s="52" t="s">
        <v>131</v>
      </c>
    </row>
    <row r="104" spans="1:19" ht="13.8" thickBot="1" x14ac:dyDescent="0.3">
      <c r="D104" s="41" t="e">
        <f>IF(D98&gt;25,1,0)</f>
        <v>#N/A</v>
      </c>
      <c r="E104" s="42">
        <f>IF(B105=0,1,0)</f>
        <v>1</v>
      </c>
      <c r="F104" s="42" t="e">
        <f>E104+D104</f>
        <v>#N/A</v>
      </c>
      <c r="G104" s="70" t="s">
        <v>132</v>
      </c>
      <c r="J104" s="41">
        <f>IF(J98&gt;25,1,0)</f>
        <v>0</v>
      </c>
      <c r="K104" s="42">
        <f>IF(H105=0,1,0)</f>
        <v>1</v>
      </c>
      <c r="L104" s="42">
        <f>K104+J104</f>
        <v>1</v>
      </c>
      <c r="M104" s="70" t="s">
        <v>132</v>
      </c>
      <c r="P104" s="41">
        <f>IF(P98&gt;25,1,0)</f>
        <v>0</v>
      </c>
      <c r="Q104" s="42">
        <f>IF(N105=0,1,0)</f>
        <v>1</v>
      </c>
      <c r="R104" s="42">
        <f>Q104+P104</f>
        <v>1</v>
      </c>
      <c r="S104" s="70" t="s">
        <v>132</v>
      </c>
    </row>
    <row r="108" spans="1:19" x14ac:dyDescent="0.25">
      <c r="A108" s="32" t="s">
        <v>168</v>
      </c>
    </row>
    <row r="109" spans="1:19" x14ac:dyDescent="0.25">
      <c r="A109" s="2" t="s">
        <v>169</v>
      </c>
      <c r="E109" t="s">
        <v>296</v>
      </c>
    </row>
    <row r="111" spans="1:19" ht="13.8" thickBot="1" x14ac:dyDescent="0.3">
      <c r="B111" s="32" t="s">
        <v>173</v>
      </c>
    </row>
    <row r="112" spans="1:19" x14ac:dyDescent="0.25">
      <c r="C112" s="47" t="s">
        <v>171</v>
      </c>
      <c r="D112" s="37"/>
      <c r="E112" s="50" t="s">
        <v>147</v>
      </c>
    </row>
    <row r="113" spans="2:9" x14ac:dyDescent="0.25">
      <c r="C113" s="84" t="s">
        <v>174</v>
      </c>
      <c r="D113" s="20"/>
      <c r="E113" s="52" t="s">
        <v>147</v>
      </c>
    </row>
    <row r="114" spans="2:9" x14ac:dyDescent="0.25">
      <c r="C114" s="84" t="s">
        <v>181</v>
      </c>
      <c r="D114" s="272" t="e">
        <f>2*HLOOKUP(D97,D46:H51,4,TRUE)</f>
        <v>#N/A</v>
      </c>
      <c r="E114" s="52" t="s">
        <v>148</v>
      </c>
      <c r="G114" s="2" t="s">
        <v>191</v>
      </c>
    </row>
    <row r="115" spans="2:9" x14ac:dyDescent="0.25">
      <c r="C115" s="84" t="s">
        <v>182</v>
      </c>
      <c r="D115" s="273">
        <f>F11/1000</f>
        <v>0</v>
      </c>
      <c r="E115" s="52" t="s">
        <v>183</v>
      </c>
      <c r="G115" s="120" t="e">
        <f>D121+D133+D145</f>
        <v>#N/A</v>
      </c>
      <c r="H115" t="e">
        <f>D122</f>
        <v>#N/A</v>
      </c>
    </row>
    <row r="116" spans="2:9" ht="13.8" thickBot="1" x14ac:dyDescent="0.3">
      <c r="C116" s="84"/>
      <c r="D116" s="82"/>
      <c r="E116" s="52"/>
    </row>
    <row r="117" spans="2:9" x14ac:dyDescent="0.25">
      <c r="C117" s="84" t="s">
        <v>175</v>
      </c>
      <c r="D117" s="7">
        <f>D65</f>
        <v>7.5600000000000016E-4</v>
      </c>
      <c r="E117" s="51" t="s">
        <v>31</v>
      </c>
      <c r="F117" s="36">
        <v>1</v>
      </c>
      <c r="G117" s="37" t="e">
        <f>IF(F118=0,1,0)</f>
        <v>#N/A</v>
      </c>
      <c r="H117" s="37" t="e">
        <f t="shared" ref="H117:H122" si="51">G117+F117</f>
        <v>#N/A</v>
      </c>
      <c r="I117" s="38" t="str">
        <f>'constanten Norm'!B65</f>
        <v>TBT1</v>
      </c>
    </row>
    <row r="118" spans="2:9" x14ac:dyDescent="0.25">
      <c r="C118" s="39"/>
      <c r="D118" s="7"/>
      <c r="E118" s="7"/>
      <c r="F118" s="39" t="e">
        <f>IF($G$115&gt;'constanten Norm'!C65,1,0)</f>
        <v>#N/A</v>
      </c>
      <c r="G118" s="7" t="e">
        <f>IF(F119=0,1,0)</f>
        <v>#N/A</v>
      </c>
      <c r="H118" s="7" t="e">
        <f t="shared" si="51"/>
        <v>#N/A</v>
      </c>
      <c r="I118" s="40" t="str">
        <f>'constanten Norm'!B66</f>
        <v>TBT2</v>
      </c>
    </row>
    <row r="119" spans="2:9" x14ac:dyDescent="0.25">
      <c r="C119" s="84" t="s">
        <v>176</v>
      </c>
      <c r="D119" s="83">
        <f>D117*I25</f>
        <v>2646.0000000000005</v>
      </c>
      <c r="E119" s="51" t="s">
        <v>177</v>
      </c>
      <c r="F119" s="39" t="e">
        <f>IF($G$115&gt;'constanten Norm'!C66,1,0)</f>
        <v>#N/A</v>
      </c>
      <c r="G119" s="7" t="e">
        <f>IF(F120=0,1,0)</f>
        <v>#N/A</v>
      </c>
      <c r="H119" s="7" t="e">
        <f t="shared" si="51"/>
        <v>#N/A</v>
      </c>
      <c r="I119" s="40" t="str">
        <f>'constanten Norm'!B67</f>
        <v>TBT3</v>
      </c>
    </row>
    <row r="120" spans="2:9" x14ac:dyDescent="0.25">
      <c r="C120" s="84"/>
      <c r="D120" s="7"/>
      <c r="E120" s="51"/>
      <c r="F120" s="39" t="e">
        <f>IF($G$115&gt;'constanten Norm'!C67,1,0)</f>
        <v>#N/A</v>
      </c>
      <c r="G120" s="7" t="e">
        <f>IF(F121=0,1,0)</f>
        <v>#N/A</v>
      </c>
      <c r="H120" s="7" t="e">
        <f t="shared" si="51"/>
        <v>#N/A</v>
      </c>
      <c r="I120" s="40" t="str">
        <f>'constanten Norm'!B68</f>
        <v>TBT4</v>
      </c>
    </row>
    <row r="121" spans="2:9" ht="13.8" thickBot="1" x14ac:dyDescent="0.3">
      <c r="C121" s="85" t="s">
        <v>184</v>
      </c>
      <c r="D121" s="86" t="e">
        <f>1000000*D115*D119*180/(D114*Gegevens!D20*PI())</f>
        <v>#N/A</v>
      </c>
      <c r="E121" s="48" t="s">
        <v>185</v>
      </c>
      <c r="F121" s="39" t="e">
        <f>IF($G$115&gt;'constanten Norm'!C68,1,0)</f>
        <v>#N/A</v>
      </c>
      <c r="G121" s="7" t="e">
        <f t="shared" ref="G121:G122" si="52">IF(F122=0,1,0)</f>
        <v>#N/A</v>
      </c>
      <c r="H121" s="7" t="e">
        <f t="shared" si="51"/>
        <v>#N/A</v>
      </c>
      <c r="I121" s="40" t="str">
        <f>'constanten Norm'!B69</f>
        <v>TBT5</v>
      </c>
    </row>
    <row r="122" spans="2:9" ht="13.8" thickBot="1" x14ac:dyDescent="0.3">
      <c r="D122" t="e">
        <f>VLOOKUP(2,H117:I122,2,FALSE)</f>
        <v>#N/A</v>
      </c>
      <c r="F122" s="41" t="e">
        <f>IF($G$115&gt;'constanten Norm'!C69,1,0)</f>
        <v>#N/A</v>
      </c>
      <c r="G122" s="42">
        <f t="shared" si="52"/>
        <v>1</v>
      </c>
      <c r="H122" s="42" t="e">
        <f t="shared" si="51"/>
        <v>#N/A</v>
      </c>
      <c r="I122" s="43" t="str">
        <f>'constanten Norm'!B70</f>
        <v>TBT6</v>
      </c>
    </row>
    <row r="123" spans="2:9" ht="13.8" thickBot="1" x14ac:dyDescent="0.3">
      <c r="B123" s="32" t="s">
        <v>213</v>
      </c>
    </row>
    <row r="124" spans="2:9" x14ac:dyDescent="0.25">
      <c r="C124" s="47" t="s">
        <v>171</v>
      </c>
      <c r="D124" s="37"/>
      <c r="E124" s="50" t="s">
        <v>147</v>
      </c>
      <c r="G124" s="2" t="s">
        <v>202</v>
      </c>
    </row>
    <row r="125" spans="2:9" x14ac:dyDescent="0.25">
      <c r="C125" s="84" t="s">
        <v>174</v>
      </c>
      <c r="D125" s="20"/>
      <c r="E125" s="52" t="s">
        <v>147</v>
      </c>
      <c r="G125" s="271">
        <f>(D119*D115+D131*D127+D143*D139)/1000/C57*C56</f>
        <v>0</v>
      </c>
      <c r="H125" s="2" t="s">
        <v>199</v>
      </c>
    </row>
    <row r="126" spans="2:9" x14ac:dyDescent="0.25">
      <c r="C126" s="84" t="s">
        <v>181</v>
      </c>
      <c r="D126" s="272" t="e">
        <f>2*HLOOKUP(D97,D46:H51,4,TRUE)</f>
        <v>#N/A</v>
      </c>
      <c r="E126" s="52" t="s">
        <v>148</v>
      </c>
    </row>
    <row r="127" spans="2:9" x14ac:dyDescent="0.25">
      <c r="C127" s="84" t="s">
        <v>182</v>
      </c>
      <c r="D127" s="273">
        <f>F16/1000</f>
        <v>0</v>
      </c>
      <c r="E127" s="52" t="s">
        <v>183</v>
      </c>
    </row>
    <row r="128" spans="2:9" x14ac:dyDescent="0.25">
      <c r="C128" s="84"/>
      <c r="D128" s="82"/>
      <c r="E128" s="52"/>
    </row>
    <row r="129" spans="2:5" x14ac:dyDescent="0.25">
      <c r="C129" s="84" t="s">
        <v>175</v>
      </c>
      <c r="D129" s="7">
        <f>D65</f>
        <v>7.5600000000000016E-4</v>
      </c>
      <c r="E129" s="52" t="s">
        <v>31</v>
      </c>
    </row>
    <row r="130" spans="2:5" x14ac:dyDescent="0.25">
      <c r="C130" s="39"/>
      <c r="D130" s="7"/>
      <c r="E130" s="40"/>
    </row>
    <row r="131" spans="2:5" x14ac:dyDescent="0.25">
      <c r="C131" s="84" t="s">
        <v>176</v>
      </c>
      <c r="D131" s="83">
        <f>D129*I31</f>
        <v>718.45082394944995</v>
      </c>
      <c r="E131" s="52" t="s">
        <v>177</v>
      </c>
    </row>
    <row r="132" spans="2:5" x14ac:dyDescent="0.25">
      <c r="C132" s="84"/>
      <c r="D132" s="7"/>
      <c r="E132" s="52"/>
    </row>
    <row r="133" spans="2:5" ht="13.8" thickBot="1" x14ac:dyDescent="0.3">
      <c r="C133" s="85" t="s">
        <v>184</v>
      </c>
      <c r="D133" s="86" t="e">
        <f>1000000*D127*D131*180/(D126*Gegevens!D20*PI())</f>
        <v>#N/A</v>
      </c>
      <c r="E133" s="70" t="s">
        <v>185</v>
      </c>
    </row>
    <row r="135" spans="2:5" ht="13.8" thickBot="1" x14ac:dyDescent="0.3">
      <c r="B135" s="32" t="s">
        <v>214</v>
      </c>
    </row>
    <row r="136" spans="2:5" x14ac:dyDescent="0.25">
      <c r="C136" s="47" t="s">
        <v>171</v>
      </c>
      <c r="D136" s="37"/>
      <c r="E136" s="50" t="s">
        <v>147</v>
      </c>
    </row>
    <row r="137" spans="2:5" x14ac:dyDescent="0.25">
      <c r="C137" s="84" t="s">
        <v>174</v>
      </c>
      <c r="D137" s="269"/>
      <c r="E137" s="52" t="s">
        <v>147</v>
      </c>
    </row>
    <row r="138" spans="2:5" x14ac:dyDescent="0.25">
      <c r="C138" s="84" t="s">
        <v>181</v>
      </c>
      <c r="D138" s="82" t="e">
        <f>2*HLOOKUP(D97,D46:H51,4,TRUE)</f>
        <v>#N/A</v>
      </c>
      <c r="E138" s="52" t="s">
        <v>148</v>
      </c>
    </row>
    <row r="139" spans="2:5" x14ac:dyDescent="0.25">
      <c r="C139" s="84" t="s">
        <v>182</v>
      </c>
      <c r="D139" s="270">
        <f>F21/1000</f>
        <v>0</v>
      </c>
      <c r="E139" s="52" t="s">
        <v>183</v>
      </c>
    </row>
    <row r="140" spans="2:5" x14ac:dyDescent="0.25">
      <c r="C140" s="84"/>
      <c r="D140" s="82"/>
      <c r="E140" s="52"/>
    </row>
    <row r="141" spans="2:5" x14ac:dyDescent="0.25">
      <c r="C141" s="84" t="s">
        <v>175</v>
      </c>
      <c r="D141" s="7">
        <f>D65</f>
        <v>7.5600000000000016E-4</v>
      </c>
      <c r="E141" s="52" t="s">
        <v>31</v>
      </c>
    </row>
    <row r="142" spans="2:5" x14ac:dyDescent="0.25">
      <c r="C142" s="39"/>
      <c r="D142" s="7"/>
      <c r="E142" s="40"/>
    </row>
    <row r="143" spans="2:5" x14ac:dyDescent="0.25">
      <c r="C143" s="84" t="s">
        <v>176</v>
      </c>
      <c r="D143" s="83">
        <f>D141*I37</f>
        <v>0</v>
      </c>
      <c r="E143" s="52" t="s">
        <v>177</v>
      </c>
    </row>
    <row r="144" spans="2:5" x14ac:dyDescent="0.25">
      <c r="C144" s="84"/>
      <c r="D144" s="7"/>
      <c r="E144" s="52"/>
    </row>
    <row r="145" spans="1:9" ht="13.8" thickBot="1" x14ac:dyDescent="0.3">
      <c r="C145" s="85" t="s">
        <v>184</v>
      </c>
      <c r="D145" s="86" t="e">
        <f>1000000*D139*D143*180/(D138*Gegevens!D20*PI())</f>
        <v>#N/A</v>
      </c>
      <c r="E145" s="70" t="s">
        <v>185</v>
      </c>
    </row>
    <row r="148" spans="1:9" ht="15" x14ac:dyDescent="0.25">
      <c r="B148" s="119" t="s">
        <v>190</v>
      </c>
      <c r="C148" s="118"/>
    </row>
    <row r="150" spans="1:9" x14ac:dyDescent="0.25">
      <c r="A150" s="51" t="s">
        <v>195</v>
      </c>
      <c r="B150" s="7"/>
      <c r="D150">
        <f>D46</f>
        <v>51</v>
      </c>
      <c r="E150">
        <f t="shared" ref="E150:H150" si="53">E46</f>
        <v>76</v>
      </c>
      <c r="F150">
        <f t="shared" si="53"/>
        <v>89</v>
      </c>
      <c r="G150">
        <f t="shared" si="53"/>
        <v>114</v>
      </c>
      <c r="H150">
        <f t="shared" si="53"/>
        <v>133</v>
      </c>
      <c r="I150" t="s">
        <v>147</v>
      </c>
    </row>
    <row r="151" spans="1:9" x14ac:dyDescent="0.25">
      <c r="A151" s="51" t="s">
        <v>192</v>
      </c>
      <c r="B151" s="7"/>
      <c r="D151" s="15">
        <f>D49</f>
        <v>116038.08330400004</v>
      </c>
      <c r="E151" s="15">
        <f t="shared" ref="E151:H151" si="54">E49</f>
        <v>445320.57752150006</v>
      </c>
      <c r="F151" s="15">
        <f t="shared" si="54"/>
        <v>794429.17382400041</v>
      </c>
      <c r="G151" s="15">
        <f t="shared" si="54"/>
        <v>1903316.154624</v>
      </c>
      <c r="H151" s="15">
        <f t="shared" si="54"/>
        <v>3373542.21</v>
      </c>
      <c r="I151" s="2" t="s">
        <v>148</v>
      </c>
    </row>
    <row r="152" spans="1:9" x14ac:dyDescent="0.25">
      <c r="A152" s="51" t="s">
        <v>193</v>
      </c>
      <c r="B152" s="7"/>
      <c r="D152" s="15">
        <f>D151/D150*2</f>
        <v>4550.5130707450999</v>
      </c>
      <c r="E152" s="15">
        <f t="shared" ref="E152:H152" si="55">E151/E150*2</f>
        <v>11718.962566355265</v>
      </c>
      <c r="F152" s="15">
        <f t="shared" si="55"/>
        <v>17852.340984808998</v>
      </c>
      <c r="G152" s="15">
        <f t="shared" si="55"/>
        <v>33391.511484631577</v>
      </c>
      <c r="H152" s="15">
        <f t="shared" si="55"/>
        <v>50729.958045112784</v>
      </c>
      <c r="I152" s="2" t="s">
        <v>301</v>
      </c>
    </row>
    <row r="153" spans="1:9" ht="15.6" x14ac:dyDescent="0.35">
      <c r="A153" s="51" t="s">
        <v>297</v>
      </c>
      <c r="B153" s="7"/>
      <c r="D153" s="15">
        <f>D151*2</f>
        <v>232076.16660800009</v>
      </c>
      <c r="E153" s="15">
        <f t="shared" ref="E153:H153" si="56">E151*2</f>
        <v>890641.15504300012</v>
      </c>
      <c r="F153" s="15">
        <f t="shared" si="56"/>
        <v>1588858.3476480008</v>
      </c>
      <c r="G153" s="15">
        <f t="shared" si="56"/>
        <v>3806632.3092479999</v>
      </c>
      <c r="H153" s="15">
        <f t="shared" si="56"/>
        <v>6747084.4199999999</v>
      </c>
    </row>
    <row r="154" spans="1:9" ht="15.6" x14ac:dyDescent="0.35">
      <c r="A154" s="51" t="s">
        <v>194</v>
      </c>
      <c r="B154" s="7"/>
      <c r="D154" s="15">
        <f>D153/D150*2</f>
        <v>9101.0261414901997</v>
      </c>
      <c r="E154" s="15">
        <f t="shared" ref="E154:H154" si="57">E153/E150*2</f>
        <v>23437.92513271053</v>
      </c>
      <c r="F154" s="15">
        <f t="shared" si="57"/>
        <v>35704.681969617995</v>
      </c>
      <c r="G154" s="15">
        <f t="shared" si="57"/>
        <v>66783.022969263155</v>
      </c>
      <c r="H154" s="15">
        <f t="shared" si="57"/>
        <v>101459.91609022557</v>
      </c>
    </row>
    <row r="155" spans="1:9" x14ac:dyDescent="0.25">
      <c r="A155" s="7"/>
      <c r="B155" s="7"/>
    </row>
    <row r="156" spans="1:9" ht="15.6" x14ac:dyDescent="0.35">
      <c r="A156" s="68" t="s">
        <v>198</v>
      </c>
      <c r="B156" s="7"/>
      <c r="D156" s="30">
        <f>Gegevens!$D$18*D152/1000/1000/$C$58</f>
        <v>1.0184481634524745</v>
      </c>
      <c r="E156" s="30">
        <f>Gegevens!$D$18*E152/1000/1000/$C$58</f>
        <v>2.6228154315176067</v>
      </c>
      <c r="F156" s="30">
        <f>Gegevens!$D$18*F152/1000/1000/$C$58</f>
        <v>3.9955239346953468</v>
      </c>
      <c r="G156" s="30">
        <f>Gegevens!$D$18*G152/1000/1000/$C$58</f>
        <v>7.4733382846556387</v>
      </c>
      <c r="H156" s="30">
        <f>Gegevens!$D$18*H152/1000/1000/$C$58</f>
        <v>11.353847752953813</v>
      </c>
      <c r="I156" s="2" t="s">
        <v>199</v>
      </c>
    </row>
    <row r="157" spans="1:9" ht="15.6" x14ac:dyDescent="0.35">
      <c r="A157" s="68" t="s">
        <v>200</v>
      </c>
      <c r="B157" s="7"/>
      <c r="D157" s="30">
        <f>Gegevens!$D$21*berekeningsprogramma!D154/(1000*1000)/$C$58</f>
        <v>1.3261495234742862</v>
      </c>
      <c r="E157" s="30">
        <f>Gegevens!$D$21*berekeningsprogramma!E154/(1000*1000)/$C$58</f>
        <v>3.4152405193378197</v>
      </c>
      <c r="F157" s="30">
        <f>Gegevens!$D$21*berekeningsprogramma!F154/(1000*1000)/$C$58</f>
        <v>5.2026822298586213</v>
      </c>
      <c r="G157" s="30">
        <f>Gegevens!$D$21*berekeningsprogramma!G154/(1000*1000)/$C$58</f>
        <v>9.7312404898069147</v>
      </c>
      <c r="H157" s="30">
        <f>Gegevens!$D$21*berekeningsprogramma!H154/(1000*1000)/$C$58</f>
        <v>14.784159201718582</v>
      </c>
      <c r="I157" s="2" t="s">
        <v>199</v>
      </c>
    </row>
    <row r="158" spans="1:9" x14ac:dyDescent="0.25">
      <c r="A158" s="51"/>
      <c r="B158" s="7"/>
    </row>
    <row r="159" spans="1:9" x14ac:dyDescent="0.25">
      <c r="C159" s="32" t="s">
        <v>145</v>
      </c>
    </row>
    <row r="160" spans="1:9" x14ac:dyDescent="0.25">
      <c r="C160" t="s">
        <v>54</v>
      </c>
    </row>
    <row r="161" spans="1:10" x14ac:dyDescent="0.25">
      <c r="A161" t="s">
        <v>34</v>
      </c>
      <c r="C161">
        <f>C64</f>
        <v>1822.5000000000002</v>
      </c>
    </row>
    <row r="162" spans="1:10" x14ac:dyDescent="0.25">
      <c r="A162" t="s">
        <v>35</v>
      </c>
      <c r="C162">
        <f t="shared" ref="C162:C170" si="58">C65</f>
        <v>1.8225000000000003E-3</v>
      </c>
    </row>
    <row r="163" spans="1:10" x14ac:dyDescent="0.25">
      <c r="A163" t="s">
        <v>8</v>
      </c>
      <c r="B163" t="s">
        <v>9</v>
      </c>
      <c r="C163">
        <f t="shared" si="58"/>
        <v>6378.7500000000009</v>
      </c>
      <c r="D163" t="s">
        <v>177</v>
      </c>
    </row>
    <row r="164" spans="1:10" x14ac:dyDescent="0.25">
      <c r="B164" t="s">
        <v>10</v>
      </c>
      <c r="C164">
        <f t="shared" si="58"/>
        <v>1731.9796648781382</v>
      </c>
      <c r="D164" t="s">
        <v>177</v>
      </c>
    </row>
    <row r="165" spans="1:10" x14ac:dyDescent="0.25">
      <c r="B165" t="s">
        <v>11</v>
      </c>
      <c r="C165">
        <f t="shared" si="58"/>
        <v>0</v>
      </c>
      <c r="D165" t="s">
        <v>177</v>
      </c>
    </row>
    <row r="166" spans="1:10" x14ac:dyDescent="0.25">
      <c r="A166" t="s">
        <v>12</v>
      </c>
      <c r="B166" s="1" t="s">
        <v>13</v>
      </c>
      <c r="C166">
        <f t="shared" si="58"/>
        <v>9568125.0000000019</v>
      </c>
      <c r="D166" t="s">
        <v>150</v>
      </c>
    </row>
    <row r="167" spans="1:10" x14ac:dyDescent="0.25">
      <c r="B167" s="1" t="s">
        <v>14</v>
      </c>
      <c r="C167">
        <f t="shared" si="58"/>
        <v>4468507.5353855966</v>
      </c>
    </row>
    <row r="168" spans="1:10" x14ac:dyDescent="0.25">
      <c r="B168" s="1" t="s">
        <v>15</v>
      </c>
      <c r="C168">
        <f t="shared" si="58"/>
        <v>0</v>
      </c>
    </row>
    <row r="169" spans="1:10" ht="15.6" x14ac:dyDescent="0.35">
      <c r="B169" s="1" t="s">
        <v>36</v>
      </c>
      <c r="C169">
        <f t="shared" si="58"/>
        <v>14036632.535385597</v>
      </c>
      <c r="D169" t="s">
        <v>150</v>
      </c>
    </row>
    <row r="170" spans="1:10" ht="15.6" x14ac:dyDescent="0.35">
      <c r="B170" s="1" t="s">
        <v>36</v>
      </c>
      <c r="C170">
        <f t="shared" si="58"/>
        <v>14036.632535385597</v>
      </c>
      <c r="D170" t="s">
        <v>300</v>
      </c>
    </row>
    <row r="171" spans="1:10" x14ac:dyDescent="0.25">
      <c r="B171" s="1" t="s">
        <v>46</v>
      </c>
      <c r="C171">
        <f>C74</f>
        <v>210000</v>
      </c>
      <c r="D171" t="s">
        <v>31</v>
      </c>
    </row>
    <row r="172" spans="1:10" x14ac:dyDescent="0.25">
      <c r="B172" s="1"/>
    </row>
    <row r="173" spans="1:10" ht="13.8" thickBot="1" x14ac:dyDescent="0.3">
      <c r="B173" s="126" t="s">
        <v>208</v>
      </c>
    </row>
    <row r="174" spans="1:10" ht="13.8" x14ac:dyDescent="0.3">
      <c r="B174" s="1"/>
      <c r="C174" s="129" t="s">
        <v>204</v>
      </c>
      <c r="D174" s="130">
        <f>$C$169/D152</f>
        <v>3084.626352493312</v>
      </c>
      <c r="E174" s="130">
        <f t="shared" ref="E174:H174" si="59">$C$169/E152</f>
        <v>1197.7709166581249</v>
      </c>
      <c r="F174" s="130">
        <f t="shared" si="59"/>
        <v>786.26285187638518</v>
      </c>
      <c r="G174" s="130">
        <f t="shared" si="59"/>
        <v>420.36529379168564</v>
      </c>
      <c r="H174" s="131">
        <f t="shared" si="59"/>
        <v>276.69316270483012</v>
      </c>
      <c r="I174" s="2" t="s">
        <v>31</v>
      </c>
    </row>
    <row r="175" spans="1:10" ht="13.8" x14ac:dyDescent="0.3">
      <c r="B175" s="1"/>
      <c r="C175" s="121" t="s">
        <v>203</v>
      </c>
      <c r="D175" s="197">
        <f>$G$125/D154*1000000</f>
        <v>0</v>
      </c>
      <c r="E175" s="197">
        <f>$G$125/E154*1000000</f>
        <v>0</v>
      </c>
      <c r="F175" s="197">
        <f>$G$125/F154*1000000</f>
        <v>0</v>
      </c>
      <c r="G175" s="197">
        <f>$G$125/G154*1000000</f>
        <v>0</v>
      </c>
      <c r="H175" s="198">
        <f>$G$125/H154*1000000</f>
        <v>0</v>
      </c>
      <c r="I175" s="2" t="s">
        <v>31</v>
      </c>
    </row>
    <row r="176" spans="1:10" ht="14.4" thickBot="1" x14ac:dyDescent="0.35">
      <c r="C176" s="122" t="s">
        <v>205</v>
      </c>
      <c r="D176" s="132">
        <f>SQRT(D174*D174+3*D175*D175)</f>
        <v>3084.626352493312</v>
      </c>
      <c r="E176" s="132">
        <f t="shared" ref="E176:H176" si="60">SQRT(E174*E174+3*E175*E175)</f>
        <v>1197.7709166581249</v>
      </c>
      <c r="F176" s="132">
        <f t="shared" si="60"/>
        <v>786.26285187638518</v>
      </c>
      <c r="G176" s="132">
        <f t="shared" si="60"/>
        <v>420.36529379168564</v>
      </c>
      <c r="H176" s="133">
        <f t="shared" si="60"/>
        <v>276.69316270483012</v>
      </c>
      <c r="I176" s="2" t="s">
        <v>31</v>
      </c>
      <c r="J176" s="96"/>
    </row>
    <row r="177" spans="2:17" ht="13.8" x14ac:dyDescent="0.3">
      <c r="C177" s="123"/>
      <c r="D177" s="15"/>
      <c r="E177" s="15"/>
      <c r="F177" s="15"/>
      <c r="G177" s="15"/>
      <c r="H177" s="15"/>
    </row>
    <row r="178" spans="2:17" ht="13.8" x14ac:dyDescent="0.3">
      <c r="C178" s="123"/>
      <c r="D178" s="15"/>
      <c r="E178" s="15"/>
      <c r="F178" s="15"/>
      <c r="G178" s="15"/>
      <c r="H178" s="15"/>
    </row>
    <row r="179" spans="2:17" x14ac:dyDescent="0.25">
      <c r="B179" s="32" t="s">
        <v>206</v>
      </c>
      <c r="D179" s="120">
        <f>Gegevens!D16*berekeningsprogramma!C56*I30/1000</f>
        <v>0.60750000000000004</v>
      </c>
      <c r="E179" t="s">
        <v>199</v>
      </c>
      <c r="H179" s="32" t="s">
        <v>206</v>
      </c>
      <c r="J179" s="88">
        <f>Gegevens!D16*berekeningsprogramma!C56*I30/1000/2</f>
        <v>0.30375000000000002</v>
      </c>
      <c r="O179" s="32" t="s">
        <v>206</v>
      </c>
      <c r="Q179" s="88">
        <f>Gegevens!D16*berekeningsprogramma!C56*I30/1000/3</f>
        <v>0.20250000000000001</v>
      </c>
    </row>
    <row r="180" spans="2:17" ht="13.8" x14ac:dyDescent="0.3">
      <c r="B180" s="124"/>
      <c r="D180" s="125"/>
    </row>
    <row r="181" spans="2:17" x14ac:dyDescent="0.25">
      <c r="B181" s="32" t="s">
        <v>207</v>
      </c>
      <c r="D181" s="30">
        <f>ABS(Gegevens!D16*berekeningsprogramma!C56*D115)</f>
        <v>0</v>
      </c>
      <c r="E181" s="30">
        <f>ABS(Gegevens!D16*berekeningsprogramma!C56*D127)</f>
        <v>0</v>
      </c>
      <c r="F181" s="30">
        <f>ABS(Gegevens!D16*berekeningsprogramma!C56*D139)</f>
        <v>0</v>
      </c>
      <c r="G181" s="120">
        <f>F181+E181+D181</f>
        <v>0</v>
      </c>
      <c r="H181" t="s">
        <v>199</v>
      </c>
    </row>
    <row r="183" spans="2:17" ht="13.8" thickBot="1" x14ac:dyDescent="0.3">
      <c r="B183" s="1"/>
      <c r="C183" s="32" t="s">
        <v>154</v>
      </c>
      <c r="D183" s="30"/>
      <c r="E183" s="30"/>
      <c r="F183" s="30"/>
      <c r="G183" s="30"/>
      <c r="H183" s="30"/>
      <c r="J183" s="32" t="s">
        <v>151</v>
      </c>
      <c r="Q183" s="32" t="s">
        <v>152</v>
      </c>
    </row>
    <row r="184" spans="2:17" ht="13.8" x14ac:dyDescent="0.3">
      <c r="B184" s="1"/>
      <c r="C184" s="129" t="s">
        <v>204</v>
      </c>
      <c r="D184" s="134">
        <f>$D$179/D152*1000000</f>
        <v>133.50142952133706</v>
      </c>
      <c r="E184" s="134">
        <f t="shared" ref="E184:H184" si="61">$D$179/E152*1000000</f>
        <v>51.839059691521797</v>
      </c>
      <c r="F184" s="134">
        <f t="shared" si="61"/>
        <v>34.029150603662394</v>
      </c>
      <c r="G184" s="134">
        <f t="shared" si="61"/>
        <v>18.193246516546623</v>
      </c>
      <c r="H184" s="67">
        <f t="shared" si="61"/>
        <v>11.975172529410859</v>
      </c>
      <c r="I184" s="2" t="s">
        <v>31</v>
      </c>
      <c r="Q184" s="2"/>
    </row>
    <row r="185" spans="2:17" ht="13.8" x14ac:dyDescent="0.3">
      <c r="B185" s="1"/>
      <c r="C185" s="121" t="s">
        <v>203</v>
      </c>
      <c r="D185" s="83">
        <f>$G$181/D154*1000000</f>
        <v>0</v>
      </c>
      <c r="E185" s="83">
        <f>$G$181/E154*1000000</f>
        <v>0</v>
      </c>
      <c r="F185" s="83">
        <f>$G$181/F154*1000000</f>
        <v>0</v>
      </c>
      <c r="G185" s="83">
        <f>$G$181/G154*1000000</f>
        <v>0</v>
      </c>
      <c r="H185" s="53">
        <f>$G$181/H154*1000000</f>
        <v>0</v>
      </c>
      <c r="I185" s="2" t="s">
        <v>31</v>
      </c>
    </row>
    <row r="186" spans="2:17" ht="14.4" thickBot="1" x14ac:dyDescent="0.35">
      <c r="B186" s="1"/>
      <c r="C186" s="122" t="s">
        <v>205</v>
      </c>
      <c r="D186" s="132">
        <f>SQRT(D184*D184+3*D185*D185)</f>
        <v>133.50142952133706</v>
      </c>
      <c r="E186" s="132">
        <f t="shared" ref="E186:H186" si="62">SQRT(E184*E184+3*E185*E185)</f>
        <v>51.839059691521797</v>
      </c>
      <c r="F186" s="132">
        <f t="shared" si="62"/>
        <v>34.029150603662394</v>
      </c>
      <c r="G186" s="132">
        <f t="shared" si="62"/>
        <v>18.193246516546623</v>
      </c>
      <c r="H186" s="133">
        <f t="shared" si="62"/>
        <v>11.975172529410859</v>
      </c>
      <c r="I186" s="2" t="s">
        <v>31</v>
      </c>
    </row>
    <row r="187" spans="2:17" x14ac:dyDescent="0.25">
      <c r="B187" s="1"/>
      <c r="D187" s="30"/>
      <c r="E187" s="30"/>
      <c r="F187" s="30"/>
      <c r="G187" s="30"/>
      <c r="H187" s="30"/>
    </row>
    <row r="188" spans="2:17" x14ac:dyDescent="0.25">
      <c r="B188" s="126" t="s">
        <v>305</v>
      </c>
      <c r="D188" s="30">
        <f>$G$181/D152*1000000</f>
        <v>0</v>
      </c>
      <c r="E188" s="30">
        <f t="shared" ref="E188:H188" si="63">$G$181/E152*1000000</f>
        <v>0</v>
      </c>
      <c r="F188" s="30">
        <f t="shared" si="63"/>
        <v>0</v>
      </c>
      <c r="G188" s="30">
        <f t="shared" si="63"/>
        <v>0</v>
      </c>
      <c r="H188" s="30">
        <f t="shared" si="63"/>
        <v>0</v>
      </c>
    </row>
    <row r="189" spans="2:17" ht="13.8" thickBot="1" x14ac:dyDescent="0.3">
      <c r="B189" s="1"/>
      <c r="D189" s="30"/>
      <c r="E189" s="30"/>
      <c r="F189" s="30"/>
      <c r="G189" s="30"/>
      <c r="H189" s="30"/>
    </row>
    <row r="190" spans="2:17" x14ac:dyDescent="0.25">
      <c r="C190" s="135" t="s">
        <v>209</v>
      </c>
      <c r="D190" s="136">
        <f>IF(D186&lt;Gegevens!$D$18/$C$58, 1, 0)</f>
        <v>1</v>
      </c>
      <c r="E190" s="136">
        <f>IF(E186&lt;Gegevens!$D$18/$C$58, 1, 0)</f>
        <v>1</v>
      </c>
      <c r="F190" s="136">
        <f>IF(F186&lt;Gegevens!$D$18/$C$58, 1, 0)</f>
        <v>1</v>
      </c>
      <c r="G190" s="136">
        <f>IF(G186&lt;Gegevens!$D$18/$C$58, 1, 0)</f>
        <v>1</v>
      </c>
      <c r="H190" s="199">
        <f>IF(H186&lt;Gegevens!$D$18/$C$58, 1, 0)</f>
        <v>1</v>
      </c>
    </row>
    <row r="191" spans="2:17" ht="13.8" thickBot="1" x14ac:dyDescent="0.3">
      <c r="C191" s="200" t="s">
        <v>305</v>
      </c>
      <c r="D191" s="138">
        <f>IF(D188&lt;Gegevens!$D$18/Gegevens!$D$13,1,0)</f>
        <v>1</v>
      </c>
      <c r="E191" s="138">
        <f>IF(E188&lt;Gegevens!$D$18/Gegevens!$D$13,1,0)</f>
        <v>1</v>
      </c>
      <c r="F191" s="138">
        <f>IF(F188&lt;Gegevens!$D$18/Gegevens!$D$13,1,0)</f>
        <v>1</v>
      </c>
      <c r="G191" s="138">
        <f>IF(G188&lt;Gegevens!$D$18/Gegevens!$D$13,1,0)</f>
        <v>1</v>
      </c>
      <c r="H191" s="109">
        <f>IF(H188&lt;Gegevens!$D$18/Gegevens!$D$13,1,0)</f>
        <v>1</v>
      </c>
    </row>
    <row r="192" spans="2:17" x14ac:dyDescent="0.25">
      <c r="C192" s="2" t="s">
        <v>210</v>
      </c>
      <c r="D192" s="148">
        <f>SUM(D190:D191)</f>
        <v>2</v>
      </c>
      <c r="E192" s="149">
        <f t="shared" ref="E192:H192" si="64">SUM(E190:E191)</f>
        <v>2</v>
      </c>
      <c r="F192" s="149">
        <f t="shared" si="64"/>
        <v>2</v>
      </c>
      <c r="G192" s="149">
        <f t="shared" si="64"/>
        <v>2</v>
      </c>
      <c r="H192" s="150">
        <f t="shared" si="64"/>
        <v>2</v>
      </c>
      <c r="I192" s="20"/>
    </row>
    <row r="193" spans="3:22" ht="13.8" thickBot="1" x14ac:dyDescent="0.3">
      <c r="D193" s="127">
        <f>D46</f>
        <v>51</v>
      </c>
      <c r="E193" s="75">
        <f>E46</f>
        <v>76</v>
      </c>
      <c r="F193" s="75">
        <f>F46</f>
        <v>89</v>
      </c>
      <c r="G193" s="75">
        <f>G46</f>
        <v>114</v>
      </c>
      <c r="H193" s="128">
        <f>H46</f>
        <v>133</v>
      </c>
      <c r="I193" s="20"/>
    </row>
    <row r="194" spans="3:22" ht="13.8" thickBot="1" x14ac:dyDescent="0.3">
      <c r="C194" s="32" t="s">
        <v>211</v>
      </c>
      <c r="D194" s="147">
        <f>HLOOKUP(2,D192:H193,2,FALSE)</f>
        <v>51</v>
      </c>
      <c r="E194" s="43" t="str">
        <f>D3</f>
        <v>VAKWERK</v>
      </c>
    </row>
    <row r="197" spans="3:22" ht="13.8" thickBot="1" x14ac:dyDescent="0.3"/>
    <row r="198" spans="3:22" x14ac:dyDescent="0.25">
      <c r="C198" s="139" t="s">
        <v>208</v>
      </c>
      <c r="D198" s="56">
        <f>IF(D176&lt;Gegevens!$D$18/berekeningsprogramma!$C$58,1,0)</f>
        <v>0</v>
      </c>
      <c r="E198" s="56">
        <f>IF(E176&lt;Gegevens!$D$18/berekeningsprogramma!$C$58,1,0)</f>
        <v>0</v>
      </c>
      <c r="F198" s="56">
        <f>IF(F176&lt;Gegevens!$D$18/berekeningsprogramma!$C$58,1,0)</f>
        <v>0</v>
      </c>
      <c r="G198" s="56">
        <f>IF(G176&lt;Gegevens!$D$18/berekeningsprogramma!$C$58,1,0)</f>
        <v>0</v>
      </c>
      <c r="H198" s="57">
        <f>IF(H176&lt;Gegevens!$D$18/berekeningsprogramma!$C$58,1,0)</f>
        <v>0</v>
      </c>
      <c r="J198" s="139" t="s">
        <v>208</v>
      </c>
      <c r="K198" s="56">
        <f>IF($J72&lt;D51,1,0)</f>
        <v>0</v>
      </c>
      <c r="L198" s="56">
        <f>IF($J72&lt;E51,1,0)</f>
        <v>0</v>
      </c>
      <c r="M198" s="56">
        <f>IF($J72&lt;F51,1,0)</f>
        <v>0</v>
      </c>
      <c r="N198" s="56">
        <f>IF($J72&lt;G51,1,0)</f>
        <v>1</v>
      </c>
      <c r="O198" s="57">
        <f>IF($J72&lt;H51,1,0)</f>
        <v>1</v>
      </c>
      <c r="Q198" s="139" t="s">
        <v>208</v>
      </c>
      <c r="R198" s="56">
        <f>IF($P$72&lt;D51,1,0)</f>
        <v>0</v>
      </c>
      <c r="S198" s="56">
        <f>IF($P$72&lt;E51,1,0)</f>
        <v>0</v>
      </c>
      <c r="T198" s="56">
        <f>IF($P$72&lt;F51,1,0)</f>
        <v>0</v>
      </c>
      <c r="U198" s="56">
        <f>IF($P$72&lt;G51,1,0)</f>
        <v>1</v>
      </c>
      <c r="V198" s="57">
        <f>IF($P$72&lt;H51,1,0)</f>
        <v>1</v>
      </c>
    </row>
    <row r="199" spans="3:22" x14ac:dyDescent="0.25">
      <c r="C199" s="140" t="s">
        <v>206</v>
      </c>
      <c r="D199" s="59">
        <f>IF($D$179&lt;D156,1,0)</f>
        <v>1</v>
      </c>
      <c r="E199" s="59">
        <f>IF($D$179&lt;E156,1,0)</f>
        <v>1</v>
      </c>
      <c r="F199" s="59">
        <f>IF($D$179&lt;F156,1,0)</f>
        <v>1</v>
      </c>
      <c r="G199" s="59">
        <f>IF($D$179&lt;G156,1,0)</f>
        <v>1</v>
      </c>
      <c r="H199" s="60">
        <f>IF($D$179&lt;H156,1,0)</f>
        <v>1</v>
      </c>
      <c r="J199" s="140" t="s">
        <v>206</v>
      </c>
      <c r="K199" s="59">
        <f>IF($J$179&lt;D156,1,0)</f>
        <v>1</v>
      </c>
      <c r="L199" s="59">
        <f>IF($J$179&lt;E156,1,0)</f>
        <v>1</v>
      </c>
      <c r="M199" s="59">
        <f>IF($J$179&lt;F156,1,0)</f>
        <v>1</v>
      </c>
      <c r="N199" s="59">
        <f>IF($J$179&lt;G156,1,0)</f>
        <v>1</v>
      </c>
      <c r="O199" s="60">
        <f>IF($J$179&lt;H156,1,0)</f>
        <v>1</v>
      </c>
      <c r="Q199" s="140" t="s">
        <v>206</v>
      </c>
      <c r="R199" s="59">
        <f>IF($Q$179&lt;D156,1,0)</f>
        <v>1</v>
      </c>
      <c r="S199" s="59">
        <f>IF($Q$179&lt;E156,1,0)</f>
        <v>1</v>
      </c>
      <c r="T199" s="59">
        <f>IF($Q$179&lt;F156,1,0)</f>
        <v>1</v>
      </c>
      <c r="U199" s="59">
        <f>IF($Q$179&lt;G156,1,0)</f>
        <v>1</v>
      </c>
      <c r="V199" s="60">
        <f>IF($Q$179&lt;H156,1,0)</f>
        <v>1</v>
      </c>
    </row>
    <row r="200" spans="3:22" x14ac:dyDescent="0.25">
      <c r="C200" s="141"/>
      <c r="D200" s="59"/>
      <c r="E200" s="59"/>
      <c r="F200" s="59"/>
      <c r="G200" s="59"/>
      <c r="H200" s="60"/>
      <c r="J200" s="141"/>
      <c r="K200" s="59"/>
      <c r="L200" s="59"/>
      <c r="M200" s="59"/>
      <c r="N200" s="59"/>
      <c r="O200" s="60"/>
      <c r="Q200" s="141"/>
      <c r="R200" s="59"/>
      <c r="S200" s="59"/>
      <c r="T200" s="59"/>
      <c r="U200" s="59"/>
      <c r="V200" s="60"/>
    </row>
    <row r="201" spans="3:22" ht="13.8" thickBot="1" x14ac:dyDescent="0.3">
      <c r="C201" s="142" t="s">
        <v>210</v>
      </c>
      <c r="D201" s="94">
        <f>SUM(D198:D199)</f>
        <v>1</v>
      </c>
      <c r="E201" s="94">
        <f t="shared" ref="E201:H201" si="65">SUM(E198:E199)</f>
        <v>1</v>
      </c>
      <c r="F201" s="94">
        <f t="shared" si="65"/>
        <v>1</v>
      </c>
      <c r="G201" s="94">
        <f t="shared" si="65"/>
        <v>1</v>
      </c>
      <c r="H201" s="100">
        <f t="shared" si="65"/>
        <v>1</v>
      </c>
      <c r="J201" s="142" t="s">
        <v>210</v>
      </c>
      <c r="K201" s="143">
        <f>SUM(K198:K199)</f>
        <v>1</v>
      </c>
      <c r="L201" s="143">
        <f t="shared" ref="L201:O201" si="66">SUM(L198:L199)</f>
        <v>1</v>
      </c>
      <c r="M201" s="143">
        <f t="shared" si="66"/>
        <v>1</v>
      </c>
      <c r="N201" s="143">
        <f t="shared" si="66"/>
        <v>2</v>
      </c>
      <c r="O201" s="144">
        <f t="shared" si="66"/>
        <v>2</v>
      </c>
      <c r="Q201" s="142" t="s">
        <v>210</v>
      </c>
      <c r="R201" s="143">
        <f>SUM(R198:R199)</f>
        <v>1</v>
      </c>
      <c r="S201" s="143">
        <f t="shared" ref="S201:V201" si="67">SUM(S198:S199)</f>
        <v>1</v>
      </c>
      <c r="T201" s="143">
        <f t="shared" si="67"/>
        <v>1</v>
      </c>
      <c r="U201" s="143">
        <f t="shared" si="67"/>
        <v>2</v>
      </c>
      <c r="V201" s="144">
        <f t="shared" si="67"/>
        <v>2</v>
      </c>
    </row>
  </sheetData>
  <sheetProtection password="CBEB" sheet="1" objects="1" scenarios="1" selectLockedCells="1" selectUnlockedCells="1"/>
  <mergeCells count="3">
    <mergeCell ref="C30:D30"/>
    <mergeCell ref="C36:D36"/>
    <mergeCell ref="C42:D42"/>
  </mergeCells>
  <conditionalFormatting sqref="G3">
    <cfRule type="containsBlanks" dxfId="2" priority="2">
      <formula>LEN(TRIM(G3))=0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6148" r:id="rId4">
          <objectPr defaultSize="0" autoPict="0" r:id="rId5">
            <anchor moveWithCells="1" sizeWithCells="1">
              <from>
                <xdr:col>4</xdr:col>
                <xdr:colOff>647700</xdr:colOff>
                <xdr:row>161</xdr:row>
                <xdr:rowOff>121920</xdr:rowOff>
              </from>
              <to>
                <xdr:col>6</xdr:col>
                <xdr:colOff>259080</xdr:colOff>
                <xdr:row>166</xdr:row>
                <xdr:rowOff>38100</xdr:rowOff>
              </to>
            </anchor>
          </objectPr>
        </oleObject>
      </mc:Choice>
      <mc:Fallback>
        <oleObject progId="Equation.3" shapeId="6148" r:id="rId4"/>
      </mc:Fallback>
    </mc:AlternateContent>
    <mc:AlternateContent xmlns:mc="http://schemas.openxmlformats.org/markup-compatibility/2006">
      <mc:Choice Requires="x14">
        <oleObject progId="Equation.3" shapeId="6149" r:id="rId6">
          <objectPr defaultSize="0" autoPict="0" r:id="rId7">
            <anchor moveWithCells="1" sizeWithCells="1">
              <from>
                <xdr:col>4</xdr:col>
                <xdr:colOff>731520</xdr:colOff>
                <xdr:row>167</xdr:row>
                <xdr:rowOff>106680</xdr:rowOff>
              </from>
              <to>
                <xdr:col>6</xdr:col>
                <xdr:colOff>297180</xdr:colOff>
                <xdr:row>171</xdr:row>
                <xdr:rowOff>114300</xdr:rowOff>
              </to>
            </anchor>
          </objectPr>
        </oleObject>
      </mc:Choice>
      <mc:Fallback>
        <oleObject progId="Equation.3" shapeId="6149" r:id="rId6"/>
      </mc:Fallback>
    </mc:AlternateContent>
    <mc:AlternateContent xmlns:mc="http://schemas.openxmlformats.org/markup-compatibility/2006">
      <mc:Choice Requires="x14">
        <oleObject progId="Equation.3" shapeId="6150" r:id="rId8">
          <objectPr defaultSize="0" autoPict="0" r:id="rId9">
            <anchor moveWithCells="1" sizeWithCells="1">
              <from>
                <xdr:col>7</xdr:col>
                <xdr:colOff>7620</xdr:colOff>
                <xdr:row>168</xdr:row>
                <xdr:rowOff>152400</xdr:rowOff>
              </from>
              <to>
                <xdr:col>9</xdr:col>
                <xdr:colOff>137160</xdr:colOff>
                <xdr:row>170</xdr:row>
                <xdr:rowOff>68580</xdr:rowOff>
              </to>
            </anchor>
          </objectPr>
        </oleObject>
      </mc:Choice>
      <mc:Fallback>
        <oleObject progId="Equation.3" shapeId="6150" r:id="rId8"/>
      </mc:Fallback>
    </mc:AlternateContent>
    <mc:AlternateContent xmlns:mc="http://schemas.openxmlformats.org/markup-compatibility/2006">
      <mc:Choice Requires="x14">
        <oleObject progId="Equation.3" shapeId="6151" r:id="rId10">
          <objectPr defaultSize="0" r:id="rId11">
            <anchor moveWithCells="1" sizeWithCells="1">
              <from>
                <xdr:col>2</xdr:col>
                <xdr:colOff>30480</xdr:colOff>
                <xdr:row>76</xdr:row>
                <xdr:rowOff>38100</xdr:rowOff>
              </from>
              <to>
                <xdr:col>2</xdr:col>
                <xdr:colOff>1874520</xdr:colOff>
                <xdr:row>79</xdr:row>
                <xdr:rowOff>68580</xdr:rowOff>
              </to>
            </anchor>
          </objectPr>
        </oleObject>
      </mc:Choice>
      <mc:Fallback>
        <oleObject progId="Equation.3" shapeId="6151" r:id="rId10"/>
      </mc:Fallback>
    </mc:AlternateContent>
    <mc:AlternateContent xmlns:mc="http://schemas.openxmlformats.org/markup-compatibility/2006">
      <mc:Choice Requires="x14">
        <oleObject progId="Equation.3" shapeId="6152" r:id="rId12">
          <objectPr defaultSize="0" autoPict="0" r:id="rId13">
            <anchor moveWithCells="1" sizeWithCells="1">
              <from>
                <xdr:col>2</xdr:col>
                <xdr:colOff>723900</xdr:colOff>
                <xdr:row>106</xdr:row>
                <xdr:rowOff>22860</xdr:rowOff>
              </from>
              <to>
                <xdr:col>3</xdr:col>
                <xdr:colOff>266700</xdr:colOff>
                <xdr:row>109</xdr:row>
                <xdr:rowOff>99060</xdr:rowOff>
              </to>
            </anchor>
          </objectPr>
        </oleObject>
      </mc:Choice>
      <mc:Fallback>
        <oleObject progId="Equation.3" shapeId="6152" r:id="rId12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'constanten Norm'!$B$73:$B$77</xm:f>
          </x14:formula1>
          <xm:sqref>C8:C11 C13 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W71"/>
  <sheetViews>
    <sheetView workbookViewId="0">
      <selection activeCell="J34" sqref="J34"/>
    </sheetView>
  </sheetViews>
  <sheetFormatPr defaultRowHeight="13.2" x14ac:dyDescent="0.25"/>
  <cols>
    <col min="2" max="2" width="9.44140625" bestFit="1" customWidth="1"/>
    <col min="4" max="4" width="10" bestFit="1" customWidth="1"/>
    <col min="6" max="6" width="9" customWidth="1"/>
    <col min="12" max="12" width="4.109375" customWidth="1"/>
    <col min="13" max="13" width="3.44140625" customWidth="1"/>
    <col min="14" max="14" width="6.44140625" customWidth="1"/>
    <col min="15" max="15" width="6.88671875" customWidth="1"/>
    <col min="16" max="16" width="3.6640625" customWidth="1"/>
    <col min="17" max="17" width="6" customWidth="1"/>
    <col min="18" max="18" width="3.6640625" customWidth="1"/>
    <col min="19" max="19" width="5.6640625" customWidth="1"/>
    <col min="20" max="21" width="9.33203125" customWidth="1"/>
    <col min="22" max="22" width="7.109375" customWidth="1"/>
  </cols>
  <sheetData>
    <row r="1" spans="1:23" x14ac:dyDescent="0.25">
      <c r="M1" t="s">
        <v>61</v>
      </c>
      <c r="N1" t="s">
        <v>65</v>
      </c>
      <c r="O1" t="s">
        <v>56</v>
      </c>
      <c r="P1" t="s">
        <v>62</v>
      </c>
      <c r="Q1" t="s">
        <v>56</v>
      </c>
      <c r="R1" t="s">
        <v>63</v>
      </c>
      <c r="S1" t="s">
        <v>56</v>
      </c>
      <c r="T1" t="s">
        <v>57</v>
      </c>
      <c r="U1" t="s">
        <v>64</v>
      </c>
      <c r="V1" t="s">
        <v>58</v>
      </c>
    </row>
    <row r="2" spans="1:23" x14ac:dyDescent="0.25">
      <c r="V2" t="s">
        <v>60</v>
      </c>
      <c r="W2" t="s">
        <v>59</v>
      </c>
    </row>
    <row r="3" spans="1:23" x14ac:dyDescent="0.25">
      <c r="M3">
        <f>M8+M9+M10+M11+M12+M13</f>
        <v>2</v>
      </c>
      <c r="N3">
        <f>E10</f>
        <v>2100</v>
      </c>
      <c r="O3">
        <f>I5/1000000</f>
        <v>4</v>
      </c>
      <c r="P3">
        <f>SUM(M14:M19)</f>
        <v>0</v>
      </c>
      <c r="Q3">
        <f>I11/1000000</f>
        <v>0</v>
      </c>
      <c r="R3">
        <f>SUM(M20:M25)</f>
        <v>0</v>
      </c>
      <c r="S3">
        <f>I17/1000000</f>
        <v>0</v>
      </c>
      <c r="T3" s="16">
        <f>C48</f>
        <v>16070.4</v>
      </c>
      <c r="U3" s="21">
        <f>S30</f>
        <v>0</v>
      </c>
      <c r="V3" s="15" t="e">
        <f>HLOOKUP(U3,Q14:U15,2)</f>
        <v>#N/A</v>
      </c>
      <c r="W3" t="e">
        <f>VLOOKUP(1,S17:T21,2,FALSE)</f>
        <v>#N/A</v>
      </c>
    </row>
    <row r="4" spans="1:23" ht="13.8" thickBot="1" x14ac:dyDescent="0.3"/>
    <row r="5" spans="1:23" ht="13.8" thickBot="1" x14ac:dyDescent="0.3">
      <c r="A5" s="3" t="s">
        <v>4</v>
      </c>
      <c r="B5" s="4">
        <v>1</v>
      </c>
      <c r="C5" s="4" t="s">
        <v>0</v>
      </c>
      <c r="D5" s="4" t="s">
        <v>37</v>
      </c>
      <c r="E5" s="12">
        <v>0</v>
      </c>
      <c r="F5" s="4"/>
      <c r="G5" s="4"/>
      <c r="H5" s="4" t="s">
        <v>42</v>
      </c>
      <c r="I5" s="4">
        <f>(E5/2)^2*PI()+E6*G6+E7^2*0.433+G7^2*0.433+E8^2*0.8284+E9^2/2</f>
        <v>4000000</v>
      </c>
      <c r="J5" s="24">
        <f t="shared" ref="J5:L7" si="0">L69</f>
        <v>0</v>
      </c>
      <c r="K5" t="e">
        <f t="shared" si="0"/>
        <v>#N/A</v>
      </c>
      <c r="L5" t="e">
        <f t="shared" si="0"/>
        <v>#N/A</v>
      </c>
    </row>
    <row r="6" spans="1:23" ht="13.8" thickBot="1" x14ac:dyDescent="0.3">
      <c r="A6" s="6"/>
      <c r="B6" s="7">
        <v>2</v>
      </c>
      <c r="C6" s="7" t="s">
        <v>1</v>
      </c>
      <c r="D6" s="7" t="s">
        <v>84</v>
      </c>
      <c r="E6" s="23">
        <v>2000</v>
      </c>
      <c r="F6" s="7" t="s">
        <v>83</v>
      </c>
      <c r="G6" s="23">
        <v>2000</v>
      </c>
      <c r="H6" s="7"/>
      <c r="I6" s="7"/>
      <c r="J6" s="25">
        <f t="shared" si="0"/>
        <v>133</v>
      </c>
      <c r="K6">
        <f t="shared" si="0"/>
        <v>-0.24308376249228303</v>
      </c>
      <c r="L6" t="str">
        <f t="shared" si="0"/>
        <v>TB1</v>
      </c>
    </row>
    <row r="7" spans="1:23" ht="13.8" thickBot="1" x14ac:dyDescent="0.3">
      <c r="A7" s="6"/>
      <c r="B7" s="7">
        <v>3</v>
      </c>
      <c r="C7" s="7" t="s">
        <v>2</v>
      </c>
      <c r="D7" s="7" t="s">
        <v>39</v>
      </c>
      <c r="E7" s="12">
        <v>0</v>
      </c>
      <c r="F7" s="7" t="s">
        <v>76</v>
      </c>
      <c r="G7" s="12"/>
      <c r="H7" s="7"/>
      <c r="I7" s="7"/>
      <c r="J7" s="26">
        <f t="shared" si="0"/>
        <v>114</v>
      </c>
      <c r="K7">
        <f t="shared" si="0"/>
        <v>-0.28723668471685215</v>
      </c>
      <c r="L7" t="str">
        <f t="shared" si="0"/>
        <v>TB1</v>
      </c>
      <c r="T7" t="s">
        <v>67</v>
      </c>
      <c r="U7" t="s">
        <v>68</v>
      </c>
    </row>
    <row r="8" spans="1:23" ht="13.8" thickBot="1" x14ac:dyDescent="0.3">
      <c r="A8" s="6"/>
      <c r="B8" s="20">
        <v>5</v>
      </c>
      <c r="C8" s="7" t="s">
        <v>3</v>
      </c>
      <c r="D8" s="7" t="s">
        <v>37</v>
      </c>
      <c r="E8" s="12">
        <v>0</v>
      </c>
      <c r="F8" s="7"/>
      <c r="G8" s="7"/>
      <c r="H8" s="7"/>
      <c r="I8" s="8"/>
      <c r="M8" s="17">
        <f>IF(E5&gt;0,1,0)</f>
        <v>0</v>
      </c>
      <c r="O8" t="s">
        <v>66</v>
      </c>
      <c r="S8">
        <v>1</v>
      </c>
    </row>
    <row r="9" spans="1:23" ht="13.8" thickBot="1" x14ac:dyDescent="0.3">
      <c r="A9" s="6"/>
      <c r="B9" s="20">
        <v>6</v>
      </c>
      <c r="C9" s="20" t="s">
        <v>77</v>
      </c>
      <c r="D9" s="20" t="s">
        <v>78</v>
      </c>
      <c r="E9" s="12">
        <v>0</v>
      </c>
      <c r="F9" s="7"/>
      <c r="G9" s="7"/>
      <c r="H9" s="7"/>
      <c r="I9" s="8"/>
      <c r="M9" s="18"/>
    </row>
    <row r="10" spans="1:23" ht="13.8" thickBot="1" x14ac:dyDescent="0.3">
      <c r="A10" s="9"/>
      <c r="B10" s="10"/>
      <c r="C10" s="10" t="s">
        <v>6</v>
      </c>
      <c r="D10" s="10"/>
      <c r="E10" s="23">
        <v>2100</v>
      </c>
      <c r="G10" s="10" t="s">
        <v>43</v>
      </c>
      <c r="H10" s="10"/>
      <c r="I10" s="11">
        <f>E10+E5/2+G6/2+E7/3+G7*2/3+E8/2+E9/2</f>
        <v>3100</v>
      </c>
      <c r="M10" s="18">
        <f>IF(E6&gt;0,2,0)</f>
        <v>2</v>
      </c>
      <c r="S10">
        <v>2</v>
      </c>
      <c r="T10">
        <f>IF(N19&gt;0,30,0)</f>
        <v>0</v>
      </c>
      <c r="U10">
        <f>IF(N19&gt;0,1,0)</f>
        <v>0</v>
      </c>
      <c r="V10">
        <f>IF(N19&gt;0,0,1)</f>
        <v>1</v>
      </c>
    </row>
    <row r="11" spans="1:23" ht="13.8" thickBot="1" x14ac:dyDescent="0.3">
      <c r="A11" s="3" t="s">
        <v>5</v>
      </c>
      <c r="B11" s="4"/>
      <c r="C11" s="4" t="s">
        <v>0</v>
      </c>
      <c r="D11" s="4" t="s">
        <v>37</v>
      </c>
      <c r="E11" s="12">
        <v>0</v>
      </c>
      <c r="F11" s="4"/>
      <c r="G11" s="4"/>
      <c r="H11" s="4" t="s">
        <v>42</v>
      </c>
      <c r="I11" s="5">
        <f>(E11/2)^2*PI()+E12*G12+E13^2*0.433+G13^2*0.433+E14^2*0.8284+E15^2/2</f>
        <v>0</v>
      </c>
      <c r="M11" s="18">
        <f>IF(E7&gt;0,3,0)</f>
        <v>0</v>
      </c>
      <c r="S11">
        <v>3</v>
      </c>
      <c r="T11">
        <f>IF(N25&gt;0,30,0)</f>
        <v>0</v>
      </c>
      <c r="U11">
        <f>IF(N25&gt;0,1,0)</f>
        <v>0</v>
      </c>
      <c r="V11">
        <f>IF(N25&gt;0,0,1)</f>
        <v>1</v>
      </c>
    </row>
    <row r="12" spans="1:23" ht="13.8" thickBot="1" x14ac:dyDescent="0.3">
      <c r="A12" s="6"/>
      <c r="B12" s="7"/>
      <c r="C12" s="7" t="s">
        <v>1</v>
      </c>
      <c r="D12" s="7" t="s">
        <v>38</v>
      </c>
      <c r="E12" s="12">
        <v>0</v>
      </c>
      <c r="F12" s="7" t="s">
        <v>41</v>
      </c>
      <c r="G12" s="12">
        <v>0</v>
      </c>
      <c r="H12" s="7"/>
      <c r="I12" s="8"/>
      <c r="M12" s="18">
        <f>IF(G7&gt;0,4,0)</f>
        <v>0</v>
      </c>
    </row>
    <row r="13" spans="1:23" ht="13.8" thickBot="1" x14ac:dyDescent="0.3">
      <c r="A13" s="6"/>
      <c r="B13" s="7"/>
      <c r="C13" s="7" t="s">
        <v>2</v>
      </c>
      <c r="D13" s="7" t="s">
        <v>39</v>
      </c>
      <c r="E13" s="12">
        <v>0</v>
      </c>
      <c r="F13" s="7" t="s">
        <v>40</v>
      </c>
      <c r="G13" s="12">
        <v>0</v>
      </c>
      <c r="H13" s="7"/>
      <c r="I13" s="8"/>
      <c r="M13" s="19">
        <f>IF(E8&gt;0,5,0)</f>
        <v>0</v>
      </c>
    </row>
    <row r="14" spans="1:23" ht="14.4" thickTop="1" thickBot="1" x14ac:dyDescent="0.3">
      <c r="A14" s="6"/>
      <c r="B14" s="7"/>
      <c r="C14" s="7" t="s">
        <v>3</v>
      </c>
      <c r="D14" s="7" t="s">
        <v>37</v>
      </c>
      <c r="E14" s="12">
        <v>0</v>
      </c>
      <c r="F14" s="7"/>
      <c r="G14" s="7"/>
      <c r="H14" s="7"/>
      <c r="I14" s="8"/>
      <c r="M14" s="17">
        <f>IF(E11&gt;0,1,0)</f>
        <v>0</v>
      </c>
      <c r="Q14" s="13">
        <f>D59</f>
        <v>51</v>
      </c>
      <c r="R14" s="13">
        <f>E59</f>
        <v>76</v>
      </c>
      <c r="S14" s="13">
        <f>F59</f>
        <v>89</v>
      </c>
      <c r="T14" s="13">
        <f>G59</f>
        <v>114</v>
      </c>
      <c r="U14" s="13">
        <f>H59</f>
        <v>133</v>
      </c>
    </row>
    <row r="15" spans="1:23" ht="13.8" thickBot="1" x14ac:dyDescent="0.3">
      <c r="A15" s="6"/>
      <c r="B15" s="7"/>
      <c r="C15" s="20" t="s">
        <v>77</v>
      </c>
      <c r="D15" s="20" t="s">
        <v>78</v>
      </c>
      <c r="E15" s="12">
        <v>0</v>
      </c>
      <c r="F15" s="7"/>
      <c r="G15" s="7"/>
      <c r="H15" s="7"/>
      <c r="I15" s="8"/>
      <c r="M15" s="18">
        <f>IF(E12&gt;0,2,0)</f>
        <v>0</v>
      </c>
      <c r="Q15">
        <f>D56</f>
        <v>-14.134210252076285</v>
      </c>
      <c r="R15">
        <f>E56</f>
        <v>-3.6829797441540677</v>
      </c>
      <c r="S15">
        <f>F56</f>
        <v>-2.0645096135782244</v>
      </c>
      <c r="T15">
        <f>G56</f>
        <v>-0.86171005415054935</v>
      </c>
      <c r="U15">
        <f>H56</f>
        <v>-0.48616752498456606</v>
      </c>
    </row>
    <row r="16" spans="1:23" ht="13.8" thickBot="1" x14ac:dyDescent="0.3">
      <c r="A16" s="9"/>
      <c r="B16" s="10"/>
      <c r="C16" s="10" t="s">
        <v>6</v>
      </c>
      <c r="D16" s="10"/>
      <c r="E16" s="12">
        <v>0</v>
      </c>
      <c r="G16" s="10" t="s">
        <v>43</v>
      </c>
      <c r="H16" s="10"/>
      <c r="I16" s="11">
        <f>E16+E11/2+G12/2+E13/3+G13*2/3+E14/2+((I10-E10)*V10)+E15/2</f>
        <v>1000</v>
      </c>
      <c r="M16" s="18">
        <f>IF(E13&gt;0,3,0)</f>
        <v>0</v>
      </c>
    </row>
    <row r="17" spans="1:20" ht="13.8" thickBot="1" x14ac:dyDescent="0.3">
      <c r="A17" s="3" t="s">
        <v>7</v>
      </c>
      <c r="B17" s="4"/>
      <c r="C17" s="4" t="s">
        <v>0</v>
      </c>
      <c r="D17" s="4" t="s">
        <v>37</v>
      </c>
      <c r="E17" s="12">
        <v>0</v>
      </c>
      <c r="F17" s="4"/>
      <c r="G17" s="4"/>
      <c r="H17" s="4" t="s">
        <v>42</v>
      </c>
      <c r="I17" s="5">
        <f>(E17/2)^2*PI()+E18*G18+E19^2*0.433+G19^2*0.433+E20^2*0.8284+E21^2/2</f>
        <v>0</v>
      </c>
      <c r="M17" s="18">
        <f>IF(G13&gt;0,4,0)</f>
        <v>0</v>
      </c>
      <c r="Q17">
        <v>0</v>
      </c>
      <c r="R17" t="e">
        <f>IF(Q18=0,1,0)</f>
        <v>#N/A</v>
      </c>
      <c r="S17" t="e">
        <f>R17+Q17</f>
        <v>#N/A</v>
      </c>
      <c r="T17" t="s">
        <v>52</v>
      </c>
    </row>
    <row r="18" spans="1:20" ht="13.8" thickBot="1" x14ac:dyDescent="0.3">
      <c r="A18" s="6"/>
      <c r="B18" s="7"/>
      <c r="C18" s="7" t="s">
        <v>1</v>
      </c>
      <c r="D18" s="7" t="s">
        <v>38</v>
      </c>
      <c r="E18" s="12">
        <v>0</v>
      </c>
      <c r="F18" s="7" t="s">
        <v>41</v>
      </c>
      <c r="G18" s="12">
        <v>0</v>
      </c>
      <c r="H18" s="7"/>
      <c r="I18" s="8"/>
      <c r="J18" s="11"/>
      <c r="M18" s="19">
        <f>IF(E14&gt;0,5,0)</f>
        <v>0</v>
      </c>
      <c r="Q18" t="e">
        <f>IF($V$3&gt;2,1,0)</f>
        <v>#N/A</v>
      </c>
      <c r="R18" t="e">
        <f>IF(Q19=0,1,0)</f>
        <v>#N/A</v>
      </c>
      <c r="S18" t="e">
        <f>R18+Q18</f>
        <v>#N/A</v>
      </c>
      <c r="T18" t="s">
        <v>48</v>
      </c>
    </row>
    <row r="19" spans="1:20" ht="13.8" thickBot="1" x14ac:dyDescent="0.3">
      <c r="A19" s="6"/>
      <c r="B19" s="7"/>
      <c r="C19" s="7" t="s">
        <v>2</v>
      </c>
      <c r="D19" s="7" t="s">
        <v>39</v>
      </c>
      <c r="E19" s="12">
        <v>0</v>
      </c>
      <c r="F19" s="7" t="s">
        <v>40</v>
      </c>
      <c r="G19" s="12">
        <v>0</v>
      </c>
      <c r="H19" s="7"/>
      <c r="I19" s="8"/>
      <c r="M19" s="17">
        <f>IF(E15&gt;0,6,0)</f>
        <v>0</v>
      </c>
      <c r="N19">
        <f>SUM(M14:M19)</f>
        <v>0</v>
      </c>
      <c r="Q19" t="e">
        <f>IF($V$3&gt;5,1,0)</f>
        <v>#N/A</v>
      </c>
      <c r="R19" t="e">
        <f>IF(Q20=0,1,0)</f>
        <v>#N/A</v>
      </c>
      <c r="S19" t="e">
        <f>R19+Q19</f>
        <v>#N/A</v>
      </c>
      <c r="T19" t="s">
        <v>49</v>
      </c>
    </row>
    <row r="20" spans="1:20" ht="13.8" thickBot="1" x14ac:dyDescent="0.3">
      <c r="A20" s="6"/>
      <c r="B20" s="7"/>
      <c r="C20" s="7" t="s">
        <v>3</v>
      </c>
      <c r="D20" s="7" t="s">
        <v>37</v>
      </c>
      <c r="E20" s="12">
        <v>0</v>
      </c>
      <c r="F20" s="7"/>
      <c r="G20" s="7"/>
      <c r="H20" s="7"/>
      <c r="I20" s="8"/>
      <c r="M20" s="17">
        <f>IF(E17&gt;0,1,0)</f>
        <v>0</v>
      </c>
      <c r="Q20" t="e">
        <f>IF($V$3&gt;10,1,0)</f>
        <v>#N/A</v>
      </c>
      <c r="R20" t="e">
        <f>IF(Q21=0,1,0)</f>
        <v>#N/A</v>
      </c>
      <c r="S20" t="e">
        <f>R20+Q20</f>
        <v>#N/A</v>
      </c>
      <c r="T20" t="s">
        <v>50</v>
      </c>
    </row>
    <row r="21" spans="1:20" ht="13.8" thickBot="1" x14ac:dyDescent="0.3">
      <c r="A21" s="6"/>
      <c r="B21" s="7"/>
      <c r="C21" s="20" t="s">
        <v>77</v>
      </c>
      <c r="D21" s="20" t="s">
        <v>78</v>
      </c>
      <c r="E21" s="12">
        <v>0</v>
      </c>
      <c r="F21" s="7"/>
      <c r="G21" s="7"/>
      <c r="H21" s="7"/>
      <c r="I21" s="8"/>
      <c r="M21" s="18">
        <f>IF(E18&gt;0,2,0)</f>
        <v>0</v>
      </c>
      <c r="Q21" t="e">
        <f>IF($V$3&gt;25,1,0)</f>
        <v>#N/A</v>
      </c>
      <c r="R21">
        <f>IF(Q22=0,1,0)</f>
        <v>1</v>
      </c>
      <c r="S21" t="e">
        <f>R21+Q21</f>
        <v>#N/A</v>
      </c>
      <c r="T21" t="s">
        <v>51</v>
      </c>
    </row>
    <row r="22" spans="1:20" ht="12.75" customHeight="1" thickBot="1" x14ac:dyDescent="0.3">
      <c r="A22" s="9"/>
      <c r="B22" s="10"/>
      <c r="C22" s="10" t="s">
        <v>6</v>
      </c>
      <c r="D22" s="10"/>
      <c r="E22" s="12">
        <v>0</v>
      </c>
      <c r="G22" s="10" t="s">
        <v>43</v>
      </c>
      <c r="H22" s="10"/>
      <c r="I22" s="11">
        <f>E22+E17/2+G18/2+E19/3+G19*2/3+E20/2+((I16-E16)*V11)+E21/2</f>
        <v>1000</v>
      </c>
      <c r="M22" s="18">
        <f>IF(E19&gt;0,3,0)</f>
        <v>0</v>
      </c>
    </row>
    <row r="23" spans="1:20" x14ac:dyDescent="0.25">
      <c r="M23" s="18">
        <f>IF(G19&gt;0,4,0)</f>
        <v>0</v>
      </c>
    </row>
    <row r="24" spans="1:20" ht="16.2" thickBot="1" x14ac:dyDescent="0.4">
      <c r="A24" t="s">
        <v>29</v>
      </c>
      <c r="C24" t="s">
        <v>30</v>
      </c>
      <c r="D24">
        <v>235</v>
      </c>
      <c r="E24" t="s">
        <v>31</v>
      </c>
      <c r="M24" s="19">
        <f>IF(E20&gt;0,5,0)</f>
        <v>0</v>
      </c>
    </row>
    <row r="25" spans="1:20" x14ac:dyDescent="0.25">
      <c r="A25" t="s">
        <v>18</v>
      </c>
      <c r="C25" s="2" t="s">
        <v>19</v>
      </c>
      <c r="D25" s="2">
        <v>51</v>
      </c>
      <c r="E25" s="2">
        <v>76</v>
      </c>
      <c r="F25" s="2">
        <v>89</v>
      </c>
      <c r="G25" s="2">
        <v>114</v>
      </c>
      <c r="H25" s="2">
        <v>133</v>
      </c>
      <c r="M25" s="17">
        <f>IF(E21&gt;0,1,0)</f>
        <v>0</v>
      </c>
      <c r="N25">
        <f>SUM(M20:M25)</f>
        <v>0</v>
      </c>
    </row>
    <row r="26" spans="1:20" x14ac:dyDescent="0.25">
      <c r="A26" t="s">
        <v>20</v>
      </c>
      <c r="C26" s="2" t="s">
        <v>21</v>
      </c>
      <c r="D26" s="2">
        <v>2.6</v>
      </c>
      <c r="E26" s="2">
        <v>2.9</v>
      </c>
      <c r="F26" s="2">
        <v>3.2</v>
      </c>
      <c r="G26" s="2">
        <v>3.6</v>
      </c>
      <c r="H26" s="2">
        <v>4</v>
      </c>
    </row>
    <row r="27" spans="1:20" ht="13.8" thickBot="1" x14ac:dyDescent="0.3">
      <c r="A27" t="s">
        <v>22</v>
      </c>
      <c r="C27" s="2" t="s">
        <v>23</v>
      </c>
      <c r="D27" s="2">
        <f>D25-2*D26</f>
        <v>45.8</v>
      </c>
      <c r="E27" s="2">
        <f>E25-2*E26</f>
        <v>70.2</v>
      </c>
      <c r="F27" s="2">
        <f>F25-2*F26</f>
        <v>82.6</v>
      </c>
      <c r="G27" s="2">
        <f>G25-2*G26</f>
        <v>106.8</v>
      </c>
      <c r="H27" s="2">
        <f>H25-2*H26</f>
        <v>125</v>
      </c>
    </row>
    <row r="28" spans="1:20" x14ac:dyDescent="0.25">
      <c r="A28" t="s">
        <v>24</v>
      </c>
      <c r="C28" t="s">
        <v>25</v>
      </c>
      <c r="D28">
        <f>3.14*(D$25^4-D$27^4)/64</f>
        <v>116038.08330400004</v>
      </c>
      <c r="E28">
        <f>3.14*(E$25^4-E$27^4)/64</f>
        <v>445320.57752150006</v>
      </c>
      <c r="F28">
        <f>3.14*(F$25^4-F$27^4)/64</f>
        <v>794429.17382400041</v>
      </c>
      <c r="G28">
        <f>3.14*(G$25^4-G$27^4)/64</f>
        <v>1903316.154624</v>
      </c>
      <c r="H28">
        <f>3.14*(H$25^4-H$27^4)/64</f>
        <v>3373542.21</v>
      </c>
      <c r="M28" s="27" t="b">
        <f>IF(D60="ja",51)</f>
        <v>0</v>
      </c>
      <c r="O28" t="b">
        <f>IF(E60="ja",76)</f>
        <v>0</v>
      </c>
      <c r="P28" t="b">
        <f>IF(F60="ja",89)</f>
        <v>0</v>
      </c>
      <c r="Q28" t="b">
        <f>IF(G60="ja",114)</f>
        <v>0</v>
      </c>
      <c r="R28" t="b">
        <f>IF(H60="ja",133)</f>
        <v>0</v>
      </c>
    </row>
    <row r="29" spans="1:20" x14ac:dyDescent="0.25">
      <c r="A29" t="s">
        <v>26</v>
      </c>
      <c r="C29" t="s">
        <v>27</v>
      </c>
      <c r="D29">
        <f>2*D$28/D$25</f>
        <v>4550.5130707450999</v>
      </c>
      <c r="E29">
        <f>2*E$28/E$25</f>
        <v>11718.962566355265</v>
      </c>
      <c r="F29">
        <f>2*F$28/F$25</f>
        <v>17852.340984808998</v>
      </c>
      <c r="G29">
        <f>2*G$28/G$25</f>
        <v>33391.511484631577</v>
      </c>
      <c r="H29">
        <f>2*H$28/H$25</f>
        <v>50729.958045112784</v>
      </c>
      <c r="M29" s="28">
        <v>51</v>
      </c>
      <c r="O29">
        <f>IF(D60="ja",0,76)</f>
        <v>76</v>
      </c>
      <c r="P29">
        <f>IF(E60="ja",0,89)</f>
        <v>89</v>
      </c>
      <c r="Q29">
        <f>IF(F60="ja",0,114)</f>
        <v>114</v>
      </c>
      <c r="R29">
        <f>IF(G60="ja",0,133)</f>
        <v>133</v>
      </c>
    </row>
    <row r="30" spans="1:20" ht="16.2" thickBot="1" x14ac:dyDescent="0.4">
      <c r="A30" t="s">
        <v>44</v>
      </c>
      <c r="C30" t="s">
        <v>28</v>
      </c>
      <c r="D30">
        <f>D$29*$D24</f>
        <v>1069370.5716250984</v>
      </c>
      <c r="E30">
        <f>E$29*$D24</f>
        <v>2753956.2030934873</v>
      </c>
      <c r="F30">
        <f>F$29*$D24</f>
        <v>4195300.1314301146</v>
      </c>
      <c r="G30">
        <f>G$29*$D24</f>
        <v>7847005.1988884211</v>
      </c>
      <c r="H30">
        <f>H$29*$D24</f>
        <v>11921540.140601505</v>
      </c>
      <c r="M30" s="29">
        <f>M28*M29/51</f>
        <v>0</v>
      </c>
      <c r="O30">
        <f>O28*O29/76</f>
        <v>0</v>
      </c>
      <c r="P30">
        <f>P28*P29/89</f>
        <v>0</v>
      </c>
      <c r="Q30">
        <f>Q28*Q29/114</f>
        <v>0</v>
      </c>
      <c r="R30">
        <f>R28*R29/133</f>
        <v>0</v>
      </c>
      <c r="S30" s="22">
        <f>SUM(M30:R30)</f>
        <v>0</v>
      </c>
    </row>
    <row r="31" spans="1:20" ht="13.5" customHeight="1" x14ac:dyDescent="0.25">
      <c r="D31">
        <f>D30/$C37</f>
        <v>1018448.1634524746</v>
      </c>
      <c r="E31">
        <f>E30/$C37</f>
        <v>2622815.4315176071</v>
      </c>
      <c r="F31">
        <f>F30/$C37</f>
        <v>3995523.9346953472</v>
      </c>
      <c r="G31">
        <f>G30/$C37</f>
        <v>7473338.284655639</v>
      </c>
      <c r="H31">
        <f>H30/$C37</f>
        <v>11353847.752953814</v>
      </c>
    </row>
    <row r="32" spans="1:20" ht="15.6" x14ac:dyDescent="0.35">
      <c r="A32" t="s">
        <v>44</v>
      </c>
      <c r="C32" t="s">
        <v>28</v>
      </c>
      <c r="D32">
        <f>D31/1000</f>
        <v>1018.4481634524747</v>
      </c>
      <c r="E32">
        <f>E31/1000</f>
        <v>2622.8154315176071</v>
      </c>
      <c r="F32">
        <f>F31/1000</f>
        <v>3995.5239346953472</v>
      </c>
      <c r="G32">
        <f>G31/1000</f>
        <v>7473.3382846556387</v>
      </c>
      <c r="H32">
        <f>H31/1000</f>
        <v>11353.847752953814</v>
      </c>
    </row>
    <row r="33" spans="1:13" x14ac:dyDescent="0.25">
      <c r="A33" t="s">
        <v>32</v>
      </c>
      <c r="C33">
        <v>800</v>
      </c>
      <c r="D33" t="s">
        <v>144</v>
      </c>
    </row>
    <row r="34" spans="1:13" x14ac:dyDescent="0.25">
      <c r="A34" t="s">
        <v>17</v>
      </c>
      <c r="C34">
        <v>1.2</v>
      </c>
      <c r="M34">
        <f>E50</f>
        <v>228.34474413755089</v>
      </c>
    </row>
    <row r="35" spans="1:13" ht="12" customHeight="1" x14ac:dyDescent="0.25">
      <c r="A35" t="s">
        <v>16</v>
      </c>
      <c r="C35">
        <v>1.35</v>
      </c>
    </row>
    <row r="36" spans="1:13" x14ac:dyDescent="0.25">
      <c r="A36" t="s">
        <v>47</v>
      </c>
      <c r="B36" s="1"/>
      <c r="C36">
        <v>0.56000000000000005</v>
      </c>
    </row>
    <row r="37" spans="1:13" ht="14.25" customHeight="1" x14ac:dyDescent="0.25">
      <c r="A37" t="s">
        <v>33</v>
      </c>
      <c r="C37">
        <v>1.05</v>
      </c>
    </row>
    <row r="38" spans="1:13" ht="14.25" customHeight="1" x14ac:dyDescent="0.25">
      <c r="C38" t="s">
        <v>54</v>
      </c>
      <c r="D38" t="s">
        <v>55</v>
      </c>
    </row>
    <row r="39" spans="1:13" x14ac:dyDescent="0.25">
      <c r="A39" t="s">
        <v>34</v>
      </c>
      <c r="C39">
        <f>C33*C34*C35</f>
        <v>1296</v>
      </c>
      <c r="D39">
        <f>C33*C34*C36</f>
        <v>537.6</v>
      </c>
    </row>
    <row r="40" spans="1:13" x14ac:dyDescent="0.25">
      <c r="A40" t="s">
        <v>35</v>
      </c>
      <c r="C40">
        <f>C39/1000000</f>
        <v>1.2960000000000001E-3</v>
      </c>
      <c r="D40">
        <f>D39/1000000</f>
        <v>5.3760000000000006E-4</v>
      </c>
    </row>
    <row r="41" spans="1:13" x14ac:dyDescent="0.25">
      <c r="A41" t="s">
        <v>8</v>
      </c>
      <c r="B41" t="s">
        <v>9</v>
      </c>
      <c r="C41">
        <f>C40*$I5</f>
        <v>5184</v>
      </c>
      <c r="D41">
        <f>D40*$I5</f>
        <v>2150.4</v>
      </c>
    </row>
    <row r="42" spans="1:13" x14ac:dyDescent="0.25">
      <c r="B42" t="s">
        <v>10</v>
      </c>
      <c r="C42">
        <f>C40*$I11</f>
        <v>0</v>
      </c>
      <c r="D42">
        <f>D40*$I11</f>
        <v>0</v>
      </c>
    </row>
    <row r="43" spans="1:13" x14ac:dyDescent="0.25">
      <c r="B43" t="s">
        <v>11</v>
      </c>
      <c r="C43">
        <f>C40*$I17</f>
        <v>0</v>
      </c>
      <c r="D43">
        <f>D40*$I17</f>
        <v>0</v>
      </c>
    </row>
    <row r="44" spans="1:13" x14ac:dyDescent="0.25">
      <c r="A44" t="s">
        <v>12</v>
      </c>
      <c r="B44" s="1" t="s">
        <v>13</v>
      </c>
      <c r="C44">
        <f>C41*$I10</f>
        <v>16070400</v>
      </c>
      <c r="D44">
        <f>D41*$I10</f>
        <v>6666240</v>
      </c>
    </row>
    <row r="45" spans="1:13" x14ac:dyDescent="0.25">
      <c r="B45" s="1" t="s">
        <v>14</v>
      </c>
      <c r="C45">
        <f>C42*$I16</f>
        <v>0</v>
      </c>
      <c r="D45">
        <f>D42*$I16</f>
        <v>0</v>
      </c>
    </row>
    <row r="46" spans="1:13" x14ac:dyDescent="0.25">
      <c r="B46" s="1" t="s">
        <v>15</v>
      </c>
      <c r="C46">
        <f>C43*$I22</f>
        <v>0</v>
      </c>
      <c r="D46">
        <f>D43*$I22</f>
        <v>0</v>
      </c>
    </row>
    <row r="47" spans="1:13" ht="15.6" x14ac:dyDescent="0.35">
      <c r="B47" s="1" t="s">
        <v>36</v>
      </c>
      <c r="C47">
        <f>C44+C45+C46</f>
        <v>16070400</v>
      </c>
      <c r="D47">
        <f>D44+D45+D46</f>
        <v>6666240</v>
      </c>
    </row>
    <row r="48" spans="1:13" ht="15.6" x14ac:dyDescent="0.35">
      <c r="B48" s="1" t="s">
        <v>36</v>
      </c>
      <c r="C48">
        <f>C47/1000</f>
        <v>16070.4</v>
      </c>
      <c r="D48">
        <f>D47/1000</f>
        <v>6666.24</v>
      </c>
    </row>
    <row r="49" spans="1:8" x14ac:dyDescent="0.25">
      <c r="B49" s="1" t="s">
        <v>46</v>
      </c>
      <c r="C49">
        <v>210000</v>
      </c>
    </row>
    <row r="50" spans="1:8" x14ac:dyDescent="0.25">
      <c r="B50" s="1" t="s">
        <v>69</v>
      </c>
      <c r="D50">
        <f>$D44*$I$10^2/(3*$C$49*D28)</f>
        <v>876.32103562872283</v>
      </c>
      <c r="E50">
        <f>$D44*$I$10^2/(3*$C$49*E28)</f>
        <v>228.34474413755089</v>
      </c>
      <c r="F50">
        <f>$D44*$I$10^2/(3*$C$49*F28)</f>
        <v>127.99959604185082</v>
      </c>
      <c r="G50">
        <f>$D44*$I$10^2/(3*$C$49*G28)</f>
        <v>53.426023357334202</v>
      </c>
      <c r="H50">
        <f>$D44*$I$10^2/(3*$C$49*H28)</f>
        <v>30.14238654904316</v>
      </c>
    </row>
    <row r="51" spans="1:8" x14ac:dyDescent="0.25">
      <c r="B51" s="1" t="s">
        <v>70</v>
      </c>
      <c r="D51">
        <f>$D44*$I10*($I22-$I10)/(2*$C$49*D28)</f>
        <v>-890.45524588079911</v>
      </c>
      <c r="E51">
        <f>$D44*$I10*($I22-$I10)/(2*$C$49*E28)</f>
        <v>-232.02772388170496</v>
      </c>
      <c r="F51">
        <f>$D44*$I10*($I22-$I10)/(2*$C$49*F28)</f>
        <v>-130.06410565542905</v>
      </c>
      <c r="G51">
        <f>$D44*$I10*($I22-$I10)/(2*$C$49*G28)</f>
        <v>-54.287733411484751</v>
      </c>
      <c r="H51">
        <f>$D44*$I10*($I22-$I10)/(2*$C$49*H28)</f>
        <v>-30.628554074027726</v>
      </c>
    </row>
    <row r="52" spans="1:8" x14ac:dyDescent="0.25">
      <c r="B52" s="1" t="s">
        <v>71</v>
      </c>
      <c r="D52">
        <f>$D45*$I$16^2/(3*$C$49*D28)</f>
        <v>0</v>
      </c>
      <c r="E52">
        <f>$D45*$I$16^2/(3*$C$49*E28)</f>
        <v>0</v>
      </c>
      <c r="F52">
        <f>$D45*$I$16^2/(3*$C$49*F28)</f>
        <v>0</v>
      </c>
      <c r="G52">
        <f>$D45*$I$16^2/(3*$C$49*G28)</f>
        <v>0</v>
      </c>
      <c r="H52">
        <f>$D45*$I$16^2/(3*$C$49*H28)</f>
        <v>0</v>
      </c>
    </row>
    <row r="53" spans="1:8" x14ac:dyDescent="0.25">
      <c r="B53" s="1" t="s">
        <v>72</v>
      </c>
      <c r="D53">
        <f>$D45*$I16*($I22-$I16)/(2*$C$49*D$28)</f>
        <v>0</v>
      </c>
      <c r="E53">
        <f>$D45*$I16*($I22-$I16)/(2*$C$49*E$28)</f>
        <v>0</v>
      </c>
      <c r="F53">
        <f>$D45*$I16*($I22-$I16)/(2*$C$49*F$28)</f>
        <v>0</v>
      </c>
      <c r="G53">
        <f>$D45*$I16*($I22-$I16)/(2*$C$49*G$28)</f>
        <v>0</v>
      </c>
      <c r="H53">
        <f>$D45*$I16*($I22-$I16)/(2*$C$49*H$28)</f>
        <v>0</v>
      </c>
    </row>
    <row r="54" spans="1:8" x14ac:dyDescent="0.25">
      <c r="B54" s="1" t="s">
        <v>73</v>
      </c>
      <c r="D54">
        <f>$D46*$I$22^2/(3*$C$49*D28)</f>
        <v>0</v>
      </c>
      <c r="E54">
        <f>$D46*$I$22^2/(3*$C$49*E28)</f>
        <v>0</v>
      </c>
      <c r="F54">
        <f>$D46*$I$22^2/(3*$C$49*F28)</f>
        <v>0</v>
      </c>
      <c r="G54">
        <f>$D46*$I$22^2/(3*$C$49*G28)</f>
        <v>0</v>
      </c>
      <c r="H54">
        <f>$D46*$I$22^2/(3*$C$49*H28)</f>
        <v>0</v>
      </c>
    </row>
    <row r="55" spans="1:8" x14ac:dyDescent="0.25">
      <c r="B55" s="1" t="s">
        <v>74</v>
      </c>
      <c r="D55">
        <f>SUM(D50:D54)</f>
        <v>-14.134210252076286</v>
      </c>
      <c r="E55">
        <f>SUM(E50:E54)</f>
        <v>-3.6829797441540677</v>
      </c>
      <c r="F55">
        <f>SUM(F50:F54)</f>
        <v>-2.0645096135782239</v>
      </c>
      <c r="G55">
        <f>SUM(G50:G54)</f>
        <v>-0.86171005415054935</v>
      </c>
      <c r="H55">
        <f>SUM(H50:H54)</f>
        <v>-0.48616752498456606</v>
      </c>
    </row>
    <row r="56" spans="1:8" x14ac:dyDescent="0.25">
      <c r="B56" s="1" t="s">
        <v>75</v>
      </c>
      <c r="D56">
        <f>1000*D55/$I22</f>
        <v>-14.134210252076285</v>
      </c>
      <c r="E56">
        <f>1000*E55/$I22</f>
        <v>-3.6829797441540677</v>
      </c>
      <c r="F56">
        <f>1000*F55/$I22</f>
        <v>-2.0645096135782244</v>
      </c>
      <c r="G56">
        <f>1000*G55/$I22</f>
        <v>-0.86171005415054935</v>
      </c>
      <c r="H56">
        <f>1000*H55/$I22</f>
        <v>-0.48616752498456606</v>
      </c>
    </row>
    <row r="57" spans="1:8" x14ac:dyDescent="0.25">
      <c r="B57" s="1" t="s">
        <v>45</v>
      </c>
      <c r="D57">
        <f>1000*($D44*$I10+$D45*$I16+$D46*$I22)/(3*$C49*D28)</f>
        <v>282.68420504152346</v>
      </c>
      <c r="E57">
        <f>1000*($D44*$I10+$D45*$I16+$D46*$I22)/(3*$C49*E28)</f>
        <v>73.659594883080942</v>
      </c>
      <c r="F57">
        <f>1000*($D44*$I10+$D45*$I16+$D46*$I22)/(3*$C49*F28)</f>
        <v>41.290192271564777</v>
      </c>
      <c r="G57">
        <f>1000*($D44*$I10+$D45*$I16+$D46*$I22)/(3*$C49*G28)</f>
        <v>17.234201083011033</v>
      </c>
      <c r="H57">
        <f>1000*($D44*$I10+$D45*$I16+$D46*$I22)/(3*$C49*H28)</f>
        <v>9.7233504996913425</v>
      </c>
    </row>
    <row r="58" spans="1:8" ht="13.8" thickBot="1" x14ac:dyDescent="0.3">
      <c r="B58" s="1"/>
    </row>
    <row r="59" spans="1:8" ht="14.4" thickTop="1" thickBot="1" x14ac:dyDescent="0.3">
      <c r="A59" t="s">
        <v>18</v>
      </c>
      <c r="C59" s="2" t="s">
        <v>19</v>
      </c>
      <c r="D59" s="13">
        <v>51</v>
      </c>
      <c r="E59" s="13">
        <v>76</v>
      </c>
      <c r="F59" s="13">
        <v>89</v>
      </c>
      <c r="G59" s="13">
        <v>114</v>
      </c>
      <c r="H59" s="13">
        <v>133</v>
      </c>
    </row>
    <row r="60" spans="1:8" ht="14.4" thickTop="1" thickBot="1" x14ac:dyDescent="0.3">
      <c r="B60" t="s">
        <v>53</v>
      </c>
      <c r="D60" s="14" t="str">
        <f>IF($C47&lt;D31,"ja","neen")</f>
        <v>neen</v>
      </c>
      <c r="E60" s="14" t="str">
        <f>IF($C47&lt;E31,"ja","neen")</f>
        <v>neen</v>
      </c>
      <c r="F60" s="14" t="str">
        <f>IF($C47&lt;F31,"ja","neen")</f>
        <v>neen</v>
      </c>
      <c r="G60" s="14" t="str">
        <f>IF($C47&lt;G31,"ja","neen")</f>
        <v>neen</v>
      </c>
      <c r="H60" s="14" t="str">
        <f>IF($C47&lt;H31,"ja","neen")</f>
        <v>neen</v>
      </c>
    </row>
    <row r="61" spans="1:8" ht="14.4" thickTop="1" thickBot="1" x14ac:dyDescent="0.3">
      <c r="B61" t="s">
        <v>52</v>
      </c>
      <c r="C61">
        <v>2</v>
      </c>
      <c r="D61" s="14" t="str">
        <f>IF(D$56&lt;$C61,"ja","neen")</f>
        <v>ja</v>
      </c>
      <c r="E61" s="14" t="str">
        <f t="shared" ref="E61:H65" si="1">IF(E$56&lt;$C61,"ja","neen")</f>
        <v>ja</v>
      </c>
      <c r="F61" s="14" t="str">
        <f t="shared" si="1"/>
        <v>ja</v>
      </c>
      <c r="G61" s="14" t="str">
        <f t="shared" si="1"/>
        <v>ja</v>
      </c>
      <c r="H61" s="14" t="str">
        <f t="shared" si="1"/>
        <v>ja</v>
      </c>
    </row>
    <row r="62" spans="1:8" ht="14.4" thickTop="1" thickBot="1" x14ac:dyDescent="0.3">
      <c r="B62" t="s">
        <v>48</v>
      </c>
      <c r="C62">
        <v>5</v>
      </c>
      <c r="D62" s="14" t="str">
        <f>IF(D$56&lt;$C62,"ja","neen")</f>
        <v>ja</v>
      </c>
      <c r="E62" s="14" t="str">
        <f t="shared" si="1"/>
        <v>ja</v>
      </c>
      <c r="F62" s="14" t="str">
        <f t="shared" si="1"/>
        <v>ja</v>
      </c>
      <c r="G62" s="14" t="str">
        <f t="shared" si="1"/>
        <v>ja</v>
      </c>
      <c r="H62" s="14" t="str">
        <f t="shared" si="1"/>
        <v>ja</v>
      </c>
    </row>
    <row r="63" spans="1:8" ht="14.4" thickTop="1" thickBot="1" x14ac:dyDescent="0.3">
      <c r="B63" t="s">
        <v>49</v>
      </c>
      <c r="C63">
        <v>10</v>
      </c>
      <c r="D63" s="14" t="str">
        <f>IF(D$56&lt;$C63,"ja","neen")</f>
        <v>ja</v>
      </c>
      <c r="E63" s="14" t="str">
        <f t="shared" si="1"/>
        <v>ja</v>
      </c>
      <c r="F63" s="14" t="str">
        <f t="shared" si="1"/>
        <v>ja</v>
      </c>
      <c r="G63" s="14" t="str">
        <f t="shared" si="1"/>
        <v>ja</v>
      </c>
      <c r="H63" s="14" t="str">
        <f t="shared" si="1"/>
        <v>ja</v>
      </c>
    </row>
    <row r="64" spans="1:8" ht="14.4" thickTop="1" thickBot="1" x14ac:dyDescent="0.3">
      <c r="B64" t="s">
        <v>50</v>
      </c>
      <c r="C64">
        <v>25</v>
      </c>
      <c r="D64" s="14" t="str">
        <f>IF(D$56&lt;$C64,"ja","neen")</f>
        <v>ja</v>
      </c>
      <c r="E64" s="14" t="str">
        <f t="shared" si="1"/>
        <v>ja</v>
      </c>
      <c r="F64" s="14" t="str">
        <f t="shared" si="1"/>
        <v>ja</v>
      </c>
      <c r="G64" s="14" t="str">
        <f t="shared" si="1"/>
        <v>ja</v>
      </c>
      <c r="H64" s="14" t="str">
        <f t="shared" si="1"/>
        <v>ja</v>
      </c>
    </row>
    <row r="65" spans="1:16" ht="14.4" thickTop="1" thickBot="1" x14ac:dyDescent="0.3">
      <c r="B65" t="s">
        <v>51</v>
      </c>
      <c r="C65">
        <v>50</v>
      </c>
      <c r="D65" s="14" t="str">
        <f>IF(D$56&lt;$C65,"ja","neen")</f>
        <v>ja</v>
      </c>
      <c r="E65" s="14" t="str">
        <f t="shared" si="1"/>
        <v>ja</v>
      </c>
      <c r="F65" s="14" t="str">
        <f t="shared" si="1"/>
        <v>ja</v>
      </c>
      <c r="G65" s="14" t="str">
        <f t="shared" si="1"/>
        <v>ja</v>
      </c>
      <c r="H65" s="14" t="str">
        <f t="shared" si="1"/>
        <v>ja</v>
      </c>
    </row>
    <row r="66" spans="1:16" ht="13.8" thickTop="1" x14ac:dyDescent="0.25"/>
    <row r="67" spans="1:16" x14ac:dyDescent="0.25">
      <c r="A67" t="s">
        <v>61</v>
      </c>
      <c r="B67" t="s">
        <v>79</v>
      </c>
      <c r="C67" t="s">
        <v>65</v>
      </c>
      <c r="D67" t="s">
        <v>56</v>
      </c>
      <c r="E67" t="s">
        <v>62</v>
      </c>
      <c r="F67" t="s">
        <v>80</v>
      </c>
      <c r="G67" t="s">
        <v>56</v>
      </c>
      <c r="H67" t="s">
        <v>63</v>
      </c>
      <c r="I67" t="s">
        <v>81</v>
      </c>
      <c r="J67" t="s">
        <v>56</v>
      </c>
      <c r="K67" t="s">
        <v>57</v>
      </c>
      <c r="L67" t="s">
        <v>64</v>
      </c>
      <c r="M67" t="s">
        <v>58</v>
      </c>
    </row>
    <row r="68" spans="1:16" x14ac:dyDescent="0.25">
      <c r="M68" t="s">
        <v>60</v>
      </c>
      <c r="N68" t="s">
        <v>59</v>
      </c>
    </row>
    <row r="69" spans="1:16" x14ac:dyDescent="0.25">
      <c r="A69">
        <f>M3</f>
        <v>2</v>
      </c>
      <c r="B69">
        <f>E5+E6+E7+G7+E8+E9</f>
        <v>2000</v>
      </c>
      <c r="C69">
        <f>N3</f>
        <v>2100</v>
      </c>
      <c r="D69">
        <f>O3</f>
        <v>4</v>
      </c>
      <c r="E69">
        <f>P3</f>
        <v>0</v>
      </c>
      <c r="F69">
        <f>E11+E12+E13+G13+E14+E15</f>
        <v>0</v>
      </c>
      <c r="G69">
        <f>Q3</f>
        <v>0</v>
      </c>
      <c r="H69">
        <f>R3</f>
        <v>0</v>
      </c>
      <c r="I69">
        <f>E17+E18+E19+G19+E20+E21</f>
        <v>0</v>
      </c>
      <c r="J69">
        <f>S3</f>
        <v>0</v>
      </c>
      <c r="K69">
        <f>T3</f>
        <v>16070.4</v>
      </c>
      <c r="L69">
        <f>U3</f>
        <v>0</v>
      </c>
      <c r="M69" t="e">
        <f>V3</f>
        <v>#N/A</v>
      </c>
      <c r="N69" t="e">
        <f>W3</f>
        <v>#N/A</v>
      </c>
    </row>
    <row r="70" spans="1:16" x14ac:dyDescent="0.25">
      <c r="A70">
        <f>'krachten 50%'!A69</f>
        <v>2</v>
      </c>
      <c r="B70">
        <f>'krachten 50%'!B69</f>
        <v>2000</v>
      </c>
      <c r="C70">
        <f>'krachten 50%'!C69</f>
        <v>2100</v>
      </c>
      <c r="D70">
        <f>'krachten 50%'!D69</f>
        <v>4</v>
      </c>
      <c r="E70">
        <f>'krachten 50%'!E69</f>
        <v>0</v>
      </c>
      <c r="F70">
        <f>'krachten 50%'!F69</f>
        <v>0</v>
      </c>
      <c r="G70">
        <f>'krachten 50%'!G69</f>
        <v>0</v>
      </c>
      <c r="H70">
        <f>'krachten 50%'!H69</f>
        <v>0</v>
      </c>
      <c r="I70">
        <f>'krachten 50%'!I69</f>
        <v>0</v>
      </c>
      <c r="J70">
        <f>'krachten 50%'!J69</f>
        <v>0</v>
      </c>
      <c r="K70">
        <f>'krachten 50%'!K69</f>
        <v>8035.2</v>
      </c>
      <c r="L70">
        <f>'krachten 50%'!L69</f>
        <v>133</v>
      </c>
      <c r="M70">
        <f>'krachten 50%'!M69</f>
        <v>-0.24308376249228303</v>
      </c>
      <c r="N70" t="str">
        <f>'krachten 50%'!N69</f>
        <v>TB1</v>
      </c>
      <c r="O70">
        <f>'krachten 50%'!O69</f>
        <v>0</v>
      </c>
      <c r="P70">
        <f>'krachten 50%'!P69</f>
        <v>2</v>
      </c>
    </row>
    <row r="71" spans="1:16" x14ac:dyDescent="0.25">
      <c r="A71">
        <f>'krachten 30%'!A69</f>
        <v>2</v>
      </c>
      <c r="B71">
        <f>'krachten 30%'!B69</f>
        <v>2000</v>
      </c>
      <c r="C71">
        <f>'krachten 30%'!C69</f>
        <v>2100</v>
      </c>
      <c r="D71">
        <f>'krachten 30%'!D69</f>
        <v>4</v>
      </c>
      <c r="E71">
        <f>'krachten 30%'!E69</f>
        <v>0</v>
      </c>
      <c r="F71">
        <f>'krachten 30%'!F69</f>
        <v>0</v>
      </c>
      <c r="G71">
        <f>'krachten 30%'!G69</f>
        <v>0</v>
      </c>
      <c r="H71">
        <f>'krachten 30%'!H69</f>
        <v>0</v>
      </c>
      <c r="I71">
        <f>'krachten 30%'!I69</f>
        <v>0</v>
      </c>
      <c r="J71">
        <f>'krachten 30%'!J69</f>
        <v>0</v>
      </c>
      <c r="K71">
        <f>'krachten 30%'!K69</f>
        <v>5356.8</v>
      </c>
      <c r="L71">
        <f>'krachten 30%'!L69</f>
        <v>114</v>
      </c>
      <c r="M71">
        <f>'krachten 30%'!M69</f>
        <v>-0.28723668471685215</v>
      </c>
      <c r="N71" t="str">
        <f>'krachten 30%'!N69</f>
        <v>TB1</v>
      </c>
      <c r="O71">
        <f>'krachten 30%'!O69</f>
        <v>0</v>
      </c>
      <c r="P71">
        <f>'krachten 30%'!P69</f>
        <v>3</v>
      </c>
    </row>
  </sheetData>
  <sheetProtection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170"/>
  <sheetViews>
    <sheetView topLeftCell="C1" workbookViewId="0">
      <selection activeCell="Q18" sqref="Q18"/>
    </sheetView>
  </sheetViews>
  <sheetFormatPr defaultRowHeight="13.2" x14ac:dyDescent="0.25"/>
  <sheetData>
    <row r="1" spans="1:23" x14ac:dyDescent="0.25">
      <c r="M1" t="s">
        <v>61</v>
      </c>
      <c r="N1" t="s">
        <v>65</v>
      </c>
      <c r="O1" t="s">
        <v>56</v>
      </c>
      <c r="P1" t="s">
        <v>62</v>
      </c>
      <c r="Q1" t="s">
        <v>56</v>
      </c>
      <c r="R1" t="s">
        <v>63</v>
      </c>
      <c r="S1" t="s">
        <v>56</v>
      </c>
      <c r="T1" t="s">
        <v>57</v>
      </c>
      <c r="U1" t="s">
        <v>64</v>
      </c>
      <c r="V1" t="s">
        <v>58</v>
      </c>
    </row>
    <row r="2" spans="1:23" x14ac:dyDescent="0.25">
      <c r="V2" t="s">
        <v>60</v>
      </c>
      <c r="W2" t="s">
        <v>59</v>
      </c>
    </row>
    <row r="3" spans="1:23" x14ac:dyDescent="0.25">
      <c r="M3">
        <f>M8+M9+M10+M11+M12+M13</f>
        <v>2</v>
      </c>
      <c r="N3">
        <f>E10</f>
        <v>2100</v>
      </c>
      <c r="O3">
        <f>I5/1000000</f>
        <v>4</v>
      </c>
      <c r="P3">
        <f>SUM(M14:M19)</f>
        <v>0</v>
      </c>
      <c r="Q3">
        <f>I11/1000000</f>
        <v>0</v>
      </c>
      <c r="R3">
        <f>SUM(M20:M25)</f>
        <v>0</v>
      </c>
      <c r="S3">
        <f>I17/1000000</f>
        <v>0</v>
      </c>
      <c r="T3" s="16">
        <f>C48</f>
        <v>8035.2</v>
      </c>
      <c r="U3" s="16">
        <f>S30</f>
        <v>133</v>
      </c>
      <c r="V3" s="15">
        <f>HLOOKUP(U3,Q14:U15,2)</f>
        <v>-0.24308376249228303</v>
      </c>
      <c r="W3" t="str">
        <f>VLOOKUP(2,S17:T21,2,FALSE)</f>
        <v>TB1</v>
      </c>
    </row>
    <row r="4" spans="1:23" ht="13.8" thickBot="1" x14ac:dyDescent="0.3"/>
    <row r="5" spans="1:23" ht="13.8" thickBot="1" x14ac:dyDescent="0.3">
      <c r="A5" s="3" t="s">
        <v>4</v>
      </c>
      <c r="B5" s="4">
        <v>1</v>
      </c>
      <c r="C5" s="4" t="s">
        <v>0</v>
      </c>
      <c r="D5" s="4" t="s">
        <v>37</v>
      </c>
      <c r="E5" s="12">
        <f>'krachten 100%'!E5</f>
        <v>0</v>
      </c>
      <c r="F5" s="4"/>
      <c r="G5" s="4"/>
      <c r="H5" s="4" t="s">
        <v>42</v>
      </c>
      <c r="I5" s="5">
        <f>(E5/2)^2*PI()+E6*G6+E7^2*0.433+G7^2*0.433+E8^2*0.8284+E9^2/2</f>
        <v>4000000</v>
      </c>
    </row>
    <row r="6" spans="1:23" ht="13.8" thickBot="1" x14ac:dyDescent="0.3">
      <c r="A6" s="6"/>
      <c r="B6" s="7">
        <v>2</v>
      </c>
      <c r="C6" s="7" t="s">
        <v>1</v>
      </c>
      <c r="D6" s="7" t="s">
        <v>38</v>
      </c>
      <c r="E6" s="12">
        <f>'krachten 100%'!E6</f>
        <v>2000</v>
      </c>
      <c r="F6" s="7" t="s">
        <v>41</v>
      </c>
      <c r="G6" s="12">
        <f>'krachten 100%'!G6</f>
        <v>2000</v>
      </c>
      <c r="H6" s="7"/>
      <c r="I6" s="8"/>
    </row>
    <row r="7" spans="1:23" ht="13.8" thickBot="1" x14ac:dyDescent="0.3">
      <c r="A7" s="6"/>
      <c r="B7" s="7">
        <v>3</v>
      </c>
      <c r="C7" s="7" t="s">
        <v>2</v>
      </c>
      <c r="D7" s="7" t="s">
        <v>39</v>
      </c>
      <c r="E7" s="12">
        <f>'krachten 100%'!E7</f>
        <v>0</v>
      </c>
      <c r="F7" s="7" t="s">
        <v>76</v>
      </c>
      <c r="G7" s="12">
        <f>'krachten 100%'!G7</f>
        <v>0</v>
      </c>
      <c r="H7" s="7"/>
      <c r="I7" s="8"/>
      <c r="T7" t="s">
        <v>67</v>
      </c>
      <c r="U7" t="s">
        <v>68</v>
      </c>
    </row>
    <row r="8" spans="1:23" ht="13.8" thickBot="1" x14ac:dyDescent="0.3">
      <c r="A8" s="6"/>
      <c r="B8" s="20">
        <v>5</v>
      </c>
      <c r="C8" s="7" t="s">
        <v>3</v>
      </c>
      <c r="D8" s="7" t="s">
        <v>37</v>
      </c>
      <c r="E8" s="12">
        <f>'krachten 100%'!E8</f>
        <v>0</v>
      </c>
      <c r="F8" s="7"/>
      <c r="G8" s="7"/>
      <c r="H8" s="7"/>
      <c r="I8" s="8"/>
      <c r="M8" s="17">
        <f>IF(E5&gt;0,1,0)</f>
        <v>0</v>
      </c>
      <c r="O8" t="s">
        <v>66</v>
      </c>
      <c r="S8">
        <v>1</v>
      </c>
    </row>
    <row r="9" spans="1:23" ht="13.8" thickBot="1" x14ac:dyDescent="0.3">
      <c r="A9" s="6"/>
      <c r="B9" s="20">
        <v>6</v>
      </c>
      <c r="C9" s="20" t="s">
        <v>77</v>
      </c>
      <c r="D9" s="20" t="s">
        <v>78</v>
      </c>
      <c r="E9" s="12">
        <f>'krachten 100%'!E9</f>
        <v>0</v>
      </c>
      <c r="F9" s="7"/>
      <c r="G9" s="7"/>
      <c r="H9" s="7"/>
      <c r="I9" s="8"/>
      <c r="M9" s="18"/>
    </row>
    <row r="10" spans="1:23" ht="13.8" thickBot="1" x14ac:dyDescent="0.3">
      <c r="A10" s="9"/>
      <c r="B10" s="10"/>
      <c r="C10" s="10" t="s">
        <v>6</v>
      </c>
      <c r="D10" s="10"/>
      <c r="E10" s="12">
        <f>'krachten 100%'!E10</f>
        <v>2100</v>
      </c>
      <c r="G10" s="10" t="s">
        <v>43</v>
      </c>
      <c r="H10" s="10"/>
      <c r="I10" s="11">
        <f>E10+E5/2+G6/2+E7/3+G7*2/3+E8/2+E9/2</f>
        <v>3100</v>
      </c>
      <c r="M10" s="18">
        <f>IF(E6&gt;0,2,0)</f>
        <v>2</v>
      </c>
      <c r="S10">
        <v>2</v>
      </c>
      <c r="T10">
        <f>IF(N19&gt;0,30,0)</f>
        <v>0</v>
      </c>
      <c r="U10">
        <f>IF(N19&gt;0,1,0)</f>
        <v>0</v>
      </c>
      <c r="V10">
        <f>IF(N19&gt;0,0,1)</f>
        <v>1</v>
      </c>
    </row>
    <row r="11" spans="1:23" ht="13.8" thickBot="1" x14ac:dyDescent="0.3">
      <c r="A11" s="3" t="s">
        <v>5</v>
      </c>
      <c r="B11" s="4"/>
      <c r="C11" s="4" t="s">
        <v>0</v>
      </c>
      <c r="D11" s="4" t="s">
        <v>37</v>
      </c>
      <c r="E11" s="12">
        <f>'krachten 100%'!E11</f>
        <v>0</v>
      </c>
      <c r="F11" s="4"/>
      <c r="G11" s="4"/>
      <c r="H11" s="4" t="s">
        <v>42</v>
      </c>
      <c r="I11" s="5">
        <f>(E11/2)^2*PI()+E12*G12+E13^2*0.433+G13^2*0.433+E14^2*0.8284+E15^2/2</f>
        <v>0</v>
      </c>
      <c r="M11" s="18">
        <f>IF(E7&gt;0,3,0)</f>
        <v>0</v>
      </c>
      <c r="S11">
        <v>3</v>
      </c>
      <c r="T11">
        <f>IF(N25&gt;0,30,0)</f>
        <v>0</v>
      </c>
      <c r="U11">
        <f>IF(N25&gt;0,1,0)</f>
        <v>0</v>
      </c>
      <c r="V11">
        <f>IF(N25&gt;0,0,1)</f>
        <v>1</v>
      </c>
    </row>
    <row r="12" spans="1:23" ht="13.8" thickBot="1" x14ac:dyDescent="0.3">
      <c r="A12" s="6"/>
      <c r="B12" s="7"/>
      <c r="C12" s="7" t="s">
        <v>1</v>
      </c>
      <c r="D12" s="7" t="s">
        <v>38</v>
      </c>
      <c r="E12" s="12">
        <f>'krachten 100%'!E12</f>
        <v>0</v>
      </c>
      <c r="F12" s="7" t="s">
        <v>41</v>
      </c>
      <c r="G12" s="12">
        <f>'krachten 100%'!G12</f>
        <v>0</v>
      </c>
      <c r="H12" s="7"/>
      <c r="I12" s="8"/>
      <c r="M12" s="18">
        <f>IF(G7&gt;0,4,0)</f>
        <v>0</v>
      </c>
    </row>
    <row r="13" spans="1:23" ht="13.8" thickBot="1" x14ac:dyDescent="0.3">
      <c r="A13" s="6"/>
      <c r="B13" s="7"/>
      <c r="C13" s="7" t="s">
        <v>2</v>
      </c>
      <c r="D13" s="7" t="s">
        <v>39</v>
      </c>
      <c r="E13" s="12">
        <f>'krachten 100%'!E13</f>
        <v>0</v>
      </c>
      <c r="F13" s="7" t="s">
        <v>40</v>
      </c>
      <c r="G13" s="12">
        <f>'krachten 100%'!G13</f>
        <v>0</v>
      </c>
      <c r="H13" s="7"/>
      <c r="I13" s="8"/>
      <c r="M13" s="19">
        <f>IF(E8&gt;0,5,0)</f>
        <v>0</v>
      </c>
    </row>
    <row r="14" spans="1:23" ht="14.4" thickTop="1" thickBot="1" x14ac:dyDescent="0.3">
      <c r="A14" s="6"/>
      <c r="B14" s="7"/>
      <c r="C14" s="7" t="s">
        <v>3</v>
      </c>
      <c r="D14" s="7" t="s">
        <v>37</v>
      </c>
      <c r="E14" s="12">
        <f>'krachten 100%'!E14</f>
        <v>0</v>
      </c>
      <c r="F14" s="7"/>
      <c r="G14" s="7"/>
      <c r="H14" s="7"/>
      <c r="I14" s="8"/>
      <c r="M14" s="17">
        <f>IF(E11&gt;0,1,0)</f>
        <v>0</v>
      </c>
      <c r="Q14" s="13">
        <f>D59</f>
        <v>51</v>
      </c>
      <c r="R14" s="13">
        <f>E59</f>
        <v>76</v>
      </c>
      <c r="S14" s="13">
        <f>F59</f>
        <v>89</v>
      </c>
      <c r="T14" s="13">
        <f>G59</f>
        <v>114</v>
      </c>
      <c r="U14" s="13">
        <f>H59</f>
        <v>133</v>
      </c>
    </row>
    <row r="15" spans="1:23" ht="13.8" thickBot="1" x14ac:dyDescent="0.3">
      <c r="A15" s="6"/>
      <c r="B15" s="7"/>
      <c r="C15" s="20" t="s">
        <v>77</v>
      </c>
      <c r="D15" s="20" t="s">
        <v>78</v>
      </c>
      <c r="E15" s="12">
        <f>'krachten 100%'!E15</f>
        <v>0</v>
      </c>
      <c r="F15" s="7"/>
      <c r="G15" s="7"/>
      <c r="H15" s="7"/>
      <c r="I15" s="8"/>
      <c r="M15" s="18">
        <f>IF(E12&gt;0,2,0)</f>
        <v>0</v>
      </c>
      <c r="Q15">
        <f>D56</f>
        <v>-7.0671051260381423</v>
      </c>
      <c r="R15">
        <f>E56</f>
        <v>-1.8414898720770339</v>
      </c>
      <c r="S15">
        <f>F56</f>
        <v>-1.0322548067891122</v>
      </c>
      <c r="T15">
        <f>G56</f>
        <v>-0.43085502707527468</v>
      </c>
      <c r="U15">
        <f>H56</f>
        <v>-0.24308376249228303</v>
      </c>
    </row>
    <row r="16" spans="1:23" ht="13.8" thickBot="1" x14ac:dyDescent="0.3">
      <c r="A16" s="9"/>
      <c r="B16" s="10"/>
      <c r="C16" s="10" t="s">
        <v>6</v>
      </c>
      <c r="D16" s="10"/>
      <c r="E16" s="12">
        <f>'krachten 100%'!E16</f>
        <v>0</v>
      </c>
      <c r="G16" s="10" t="s">
        <v>43</v>
      </c>
      <c r="H16" s="10"/>
      <c r="I16" s="11">
        <f>E16+E11/2+G12/2+E13/3+G13*2/3+E14/2+((I10-E10)*V10)+E15/2</f>
        <v>1000</v>
      </c>
      <c r="M16" s="18">
        <f>IF(E13&gt;0,3,0)</f>
        <v>0</v>
      </c>
    </row>
    <row r="17" spans="1:20" ht="13.8" thickBot="1" x14ac:dyDescent="0.3">
      <c r="A17" s="3" t="s">
        <v>7</v>
      </c>
      <c r="B17" s="4"/>
      <c r="C17" s="4" t="s">
        <v>0</v>
      </c>
      <c r="D17" s="4" t="s">
        <v>37</v>
      </c>
      <c r="E17" s="12">
        <f>'krachten 100%'!E17</f>
        <v>0</v>
      </c>
      <c r="F17" s="4"/>
      <c r="G17" s="4"/>
      <c r="H17" s="4" t="s">
        <v>42</v>
      </c>
      <c r="I17" s="5">
        <f>(E17/2)^2*PI()+E18*G18+E19^2*0.433+G19^2*0.433+E20^2*0.8284+E21^2/2</f>
        <v>0</v>
      </c>
      <c r="M17" s="18">
        <f>IF(G13&gt;0,4,0)</f>
        <v>0</v>
      </c>
      <c r="Q17">
        <v>1</v>
      </c>
      <c r="R17">
        <f>IF(Q18=0,1,0)</f>
        <v>1</v>
      </c>
      <c r="S17">
        <f>R17+Q17</f>
        <v>2</v>
      </c>
      <c r="T17" t="s">
        <v>52</v>
      </c>
    </row>
    <row r="18" spans="1:20" ht="13.8" thickBot="1" x14ac:dyDescent="0.3">
      <c r="A18" s="6"/>
      <c r="B18" s="7"/>
      <c r="C18" s="7" t="s">
        <v>1</v>
      </c>
      <c r="D18" s="7" t="s">
        <v>38</v>
      </c>
      <c r="E18" s="12">
        <f>'krachten 100%'!E18</f>
        <v>0</v>
      </c>
      <c r="F18" s="7" t="s">
        <v>41</v>
      </c>
      <c r="G18" s="12">
        <f>'krachten 100%'!G18</f>
        <v>0</v>
      </c>
      <c r="H18" s="7"/>
      <c r="I18" s="8"/>
      <c r="J18" s="11"/>
      <c r="M18" s="19">
        <f>IF(E14&gt;0,5,0)</f>
        <v>0</v>
      </c>
      <c r="Q18">
        <f>IF($V$3&gt;2,1,0)</f>
        <v>0</v>
      </c>
      <c r="R18">
        <f>IF(Q19=0,1,0)</f>
        <v>1</v>
      </c>
      <c r="S18">
        <f>R18+Q18</f>
        <v>1</v>
      </c>
      <c r="T18" t="s">
        <v>48</v>
      </c>
    </row>
    <row r="19" spans="1:20" ht="13.8" thickBot="1" x14ac:dyDescent="0.3">
      <c r="A19" s="6"/>
      <c r="B19" s="7"/>
      <c r="C19" s="7" t="s">
        <v>2</v>
      </c>
      <c r="D19" s="7" t="s">
        <v>39</v>
      </c>
      <c r="E19" s="12">
        <f>'krachten 100%'!E19</f>
        <v>0</v>
      </c>
      <c r="F19" s="7" t="s">
        <v>40</v>
      </c>
      <c r="G19" s="12">
        <f>'krachten 100%'!G19</f>
        <v>0</v>
      </c>
      <c r="H19" s="7"/>
      <c r="I19" s="8"/>
      <c r="M19" s="17">
        <f>IF(E15&gt;0,6,0)</f>
        <v>0</v>
      </c>
      <c r="N19">
        <f>SUM(M14:M19)</f>
        <v>0</v>
      </c>
      <c r="Q19">
        <f>IF($V$3&gt;5,1,0)</f>
        <v>0</v>
      </c>
      <c r="R19">
        <f>IF(Q20=0,1,0)</f>
        <v>1</v>
      </c>
      <c r="S19">
        <f>R19+Q19</f>
        <v>1</v>
      </c>
      <c r="T19" t="s">
        <v>49</v>
      </c>
    </row>
    <row r="20" spans="1:20" ht="13.8" thickBot="1" x14ac:dyDescent="0.3">
      <c r="A20" s="6"/>
      <c r="B20" s="7"/>
      <c r="C20" s="7" t="s">
        <v>3</v>
      </c>
      <c r="D20" s="7" t="s">
        <v>37</v>
      </c>
      <c r="E20" s="12">
        <f>'krachten 100%'!E20</f>
        <v>0</v>
      </c>
      <c r="F20" s="7"/>
      <c r="G20" s="7"/>
      <c r="H20" s="7"/>
      <c r="I20" s="8"/>
      <c r="M20" s="17">
        <f>IF(E17&gt;0,1,0)</f>
        <v>0</v>
      </c>
      <c r="Q20">
        <f>IF($V$3&gt;10,1,0)</f>
        <v>0</v>
      </c>
      <c r="R20">
        <f>IF(Q21=0,1,0)</f>
        <v>1</v>
      </c>
      <c r="S20">
        <f>R20+Q20</f>
        <v>1</v>
      </c>
      <c r="T20" t="s">
        <v>50</v>
      </c>
    </row>
    <row r="21" spans="1:20" ht="13.8" thickBot="1" x14ac:dyDescent="0.3">
      <c r="A21" s="6"/>
      <c r="B21" s="7"/>
      <c r="C21" s="20" t="s">
        <v>77</v>
      </c>
      <c r="D21" s="20" t="s">
        <v>78</v>
      </c>
      <c r="E21" s="12">
        <f>'krachten 100%'!E21</f>
        <v>0</v>
      </c>
      <c r="F21" s="7"/>
      <c r="G21" s="7"/>
      <c r="H21" s="7"/>
      <c r="I21" s="8"/>
      <c r="M21" s="18">
        <f>IF(E18&gt;0,2,0)</f>
        <v>0</v>
      </c>
      <c r="Q21">
        <f>IF($V$3&gt;25,1,0)</f>
        <v>0</v>
      </c>
      <c r="R21">
        <f>IF(Q22=0,1,0)</f>
        <v>1</v>
      </c>
      <c r="S21">
        <f>R21+Q21</f>
        <v>1</v>
      </c>
      <c r="T21" t="s">
        <v>51</v>
      </c>
    </row>
    <row r="22" spans="1:20" ht="13.8" thickBot="1" x14ac:dyDescent="0.3">
      <c r="A22" s="9"/>
      <c r="B22" s="10"/>
      <c r="C22" s="10" t="s">
        <v>6</v>
      </c>
      <c r="D22" s="10"/>
      <c r="E22" s="12">
        <f>'krachten 100%'!E22</f>
        <v>0</v>
      </c>
      <c r="G22" s="10" t="s">
        <v>43</v>
      </c>
      <c r="H22" s="10"/>
      <c r="I22" s="11">
        <f>E22+E17/2+G18/2+E19/3+G19*2/3+E20/2+((I16-E16)*V11)+E21/2</f>
        <v>1000</v>
      </c>
      <c r="M22" s="18">
        <f>IF(E19&gt;0,3,0)</f>
        <v>0</v>
      </c>
    </row>
    <row r="23" spans="1:20" x14ac:dyDescent="0.25">
      <c r="M23" s="18">
        <f>IF(G19&gt;0,4,0)</f>
        <v>0</v>
      </c>
    </row>
    <row r="24" spans="1:20" ht="16.2" thickBot="1" x14ac:dyDescent="0.4">
      <c r="A24" t="s">
        <v>29</v>
      </c>
      <c r="C24" t="s">
        <v>30</v>
      </c>
      <c r="D24">
        <v>235</v>
      </c>
      <c r="E24" t="s">
        <v>31</v>
      </c>
      <c r="M24" s="19">
        <f>IF(E20&gt;0,5,0)</f>
        <v>0</v>
      </c>
    </row>
    <row r="25" spans="1:20" x14ac:dyDescent="0.25">
      <c r="A25" t="s">
        <v>18</v>
      </c>
      <c r="C25" s="2" t="s">
        <v>19</v>
      </c>
      <c r="D25" s="2">
        <v>51</v>
      </c>
      <c r="E25" s="2">
        <v>76</v>
      </c>
      <c r="F25" s="2">
        <v>89</v>
      </c>
      <c r="G25" s="2">
        <v>114</v>
      </c>
      <c r="H25" s="2">
        <v>133</v>
      </c>
      <c r="M25" s="17">
        <f>IF(E21&gt;0,1,0)</f>
        <v>0</v>
      </c>
      <c r="N25">
        <f>SUM(M20:M25)</f>
        <v>0</v>
      </c>
    </row>
    <row r="26" spans="1:20" x14ac:dyDescent="0.25">
      <c r="A26" t="s">
        <v>20</v>
      </c>
      <c r="C26" s="2" t="s">
        <v>21</v>
      </c>
      <c r="D26" s="2">
        <v>2.6</v>
      </c>
      <c r="E26" s="2">
        <v>2.9</v>
      </c>
      <c r="F26" s="2">
        <v>3.2</v>
      </c>
      <c r="G26" s="2">
        <v>3.6</v>
      </c>
      <c r="H26" s="2">
        <v>4</v>
      </c>
    </row>
    <row r="27" spans="1:20" x14ac:dyDescent="0.25">
      <c r="A27" t="s">
        <v>22</v>
      </c>
      <c r="C27" s="2" t="s">
        <v>23</v>
      </c>
      <c r="D27" s="2">
        <f>D25-2*D26</f>
        <v>45.8</v>
      </c>
      <c r="E27" s="2">
        <f>E25-2*E26</f>
        <v>70.2</v>
      </c>
      <c r="F27" s="2">
        <f>F25-2*F26</f>
        <v>82.6</v>
      </c>
      <c r="G27" s="2">
        <f>G25-2*G26</f>
        <v>106.8</v>
      </c>
      <c r="H27" s="2">
        <f>H25-2*H26</f>
        <v>125</v>
      </c>
    </row>
    <row r="28" spans="1:20" x14ac:dyDescent="0.25">
      <c r="A28" t="s">
        <v>24</v>
      </c>
      <c r="C28" t="s">
        <v>25</v>
      </c>
      <c r="D28">
        <f>3.14*(D$25^4-D$27^4)/64</f>
        <v>116038.08330400004</v>
      </c>
      <c r="E28">
        <f>3.14*(E$25^4-E$27^4)/64</f>
        <v>445320.57752150006</v>
      </c>
      <c r="F28">
        <f>3.14*(F$25^4-F$27^4)/64</f>
        <v>794429.17382400041</v>
      </c>
      <c r="G28">
        <f>3.14*(G$25^4-G$27^4)/64</f>
        <v>1903316.154624</v>
      </c>
      <c r="H28">
        <f>3.14*(H$25^4-H$27^4)/64</f>
        <v>3373542.21</v>
      </c>
      <c r="M28" t="b">
        <f>IF(D60="ja",51)</f>
        <v>0</v>
      </c>
      <c r="O28" t="b">
        <f>IF(E60="ja",76)</f>
        <v>0</v>
      </c>
      <c r="P28" t="b">
        <f>IF(F60="ja",89)</f>
        <v>0</v>
      </c>
      <c r="Q28" t="b">
        <f>IF(G60="ja",114)</f>
        <v>0</v>
      </c>
      <c r="R28">
        <f>IF(H60="ja",133)</f>
        <v>133</v>
      </c>
    </row>
    <row r="29" spans="1:20" x14ac:dyDescent="0.25">
      <c r="A29" t="s">
        <v>26</v>
      </c>
      <c r="C29" t="s">
        <v>27</v>
      </c>
      <c r="D29">
        <f>2*D$28/D$25</f>
        <v>4550.5130707450999</v>
      </c>
      <c r="E29">
        <f>2*E$28/E$25</f>
        <v>11718.962566355265</v>
      </c>
      <c r="F29">
        <f>2*F$28/F$25</f>
        <v>17852.340984808998</v>
      </c>
      <c r="G29">
        <f>2*G$28/G$25</f>
        <v>33391.511484631577</v>
      </c>
      <c r="H29">
        <f>2*H$28/H$25</f>
        <v>50729.958045112784</v>
      </c>
      <c r="M29">
        <v>51</v>
      </c>
      <c r="O29">
        <f>IF(D60="ja",0,76)</f>
        <v>76</v>
      </c>
      <c r="P29">
        <f>IF(E60="ja",0,89)</f>
        <v>89</v>
      </c>
      <c r="Q29">
        <f>IF(F60="ja",0,114)</f>
        <v>114</v>
      </c>
      <c r="R29">
        <f>IF(G60="ja",0,133)</f>
        <v>133</v>
      </c>
    </row>
    <row r="30" spans="1:20" ht="15.6" x14ac:dyDescent="0.35">
      <c r="A30" t="s">
        <v>44</v>
      </c>
      <c r="C30" t="s">
        <v>28</v>
      </c>
      <c r="D30">
        <f>D$29*$D24</f>
        <v>1069370.5716250984</v>
      </c>
      <c r="E30">
        <f>E$29*$D24</f>
        <v>2753956.2030934873</v>
      </c>
      <c r="F30">
        <f>F$29*$D24</f>
        <v>4195300.1314301146</v>
      </c>
      <c r="G30">
        <f>G$29*$D24</f>
        <v>7847005.1988884211</v>
      </c>
      <c r="H30">
        <f>H$29*$D24</f>
        <v>11921540.140601505</v>
      </c>
      <c r="M30">
        <f>M28*M29/51</f>
        <v>0</v>
      </c>
      <c r="O30">
        <f>O28*O29/76</f>
        <v>0</v>
      </c>
      <c r="P30">
        <f>P28*P29/89</f>
        <v>0</v>
      </c>
      <c r="Q30">
        <f>Q28*Q29/114</f>
        <v>0</v>
      </c>
      <c r="R30">
        <f>R28*R29/133</f>
        <v>133</v>
      </c>
      <c r="S30">
        <f>SUM(M30:R30)</f>
        <v>133</v>
      </c>
    </row>
    <row r="31" spans="1:20" x14ac:dyDescent="0.25">
      <c r="D31">
        <f>D30/$C37</f>
        <v>1018448.1634524746</v>
      </c>
      <c r="E31">
        <f>E30/$C37</f>
        <v>2622815.4315176071</v>
      </c>
      <c r="F31">
        <f>F30/$C37</f>
        <v>3995523.9346953472</v>
      </c>
      <c r="G31">
        <f>G30/$C37</f>
        <v>7473338.284655639</v>
      </c>
      <c r="H31">
        <f>H30/$C37</f>
        <v>11353847.752953814</v>
      </c>
    </row>
    <row r="32" spans="1:20" ht="15.6" x14ac:dyDescent="0.35">
      <c r="A32" t="s">
        <v>44</v>
      </c>
      <c r="C32" t="s">
        <v>28</v>
      </c>
      <c r="D32">
        <f>D31/1000</f>
        <v>1018.4481634524747</v>
      </c>
      <c r="E32">
        <f>E31/1000</f>
        <v>2622.8154315176071</v>
      </c>
      <c r="F32">
        <f>F31/1000</f>
        <v>3995.5239346953472</v>
      </c>
      <c r="G32">
        <f>G31/1000</f>
        <v>7473.3382846556387</v>
      </c>
      <c r="H32">
        <f>H31/1000</f>
        <v>11353.847752953814</v>
      </c>
    </row>
    <row r="33" spans="1:13" x14ac:dyDescent="0.25">
      <c r="A33" t="s">
        <v>32</v>
      </c>
      <c r="C33">
        <v>800</v>
      </c>
      <c r="D33" t="s">
        <v>144</v>
      </c>
    </row>
    <row r="34" spans="1:13" x14ac:dyDescent="0.25">
      <c r="A34" t="s">
        <v>17</v>
      </c>
      <c r="C34">
        <v>1.2</v>
      </c>
      <c r="M34">
        <f>E50</f>
        <v>114.17237206877545</v>
      </c>
    </row>
    <row r="35" spans="1:13" x14ac:dyDescent="0.25">
      <c r="A35" t="s">
        <v>16</v>
      </c>
      <c r="C35">
        <v>1.35</v>
      </c>
    </row>
    <row r="36" spans="1:13" x14ac:dyDescent="0.25">
      <c r="A36" t="s">
        <v>47</v>
      </c>
      <c r="B36" s="1"/>
      <c r="C36">
        <v>0.56000000000000005</v>
      </c>
    </row>
    <row r="37" spans="1:13" x14ac:dyDescent="0.25">
      <c r="A37" t="s">
        <v>33</v>
      </c>
      <c r="C37">
        <v>1.05</v>
      </c>
    </row>
    <row r="38" spans="1:13" x14ac:dyDescent="0.25">
      <c r="C38" t="s">
        <v>54</v>
      </c>
      <c r="D38" t="s">
        <v>55</v>
      </c>
    </row>
    <row r="39" spans="1:13" x14ac:dyDescent="0.25">
      <c r="A39" t="s">
        <v>34</v>
      </c>
      <c r="C39">
        <f>(C33*C34*C35)/2</f>
        <v>648</v>
      </c>
      <c r="D39">
        <f>(C33*C34*C36)/2</f>
        <v>268.8</v>
      </c>
    </row>
    <row r="40" spans="1:13" x14ac:dyDescent="0.25">
      <c r="A40" t="s">
        <v>35</v>
      </c>
      <c r="C40">
        <f>C39/1000000</f>
        <v>6.4800000000000003E-4</v>
      </c>
      <c r="D40">
        <f>D39/1000000</f>
        <v>2.6880000000000003E-4</v>
      </c>
    </row>
    <row r="41" spans="1:13" x14ac:dyDescent="0.25">
      <c r="A41" t="s">
        <v>8</v>
      </c>
      <c r="B41" t="s">
        <v>9</v>
      </c>
      <c r="C41">
        <f>C40*$I5</f>
        <v>2592</v>
      </c>
      <c r="D41">
        <f>D40*$I5</f>
        <v>1075.2</v>
      </c>
    </row>
    <row r="42" spans="1:13" x14ac:dyDescent="0.25">
      <c r="B42" t="s">
        <v>10</v>
      </c>
      <c r="C42">
        <f>C40*$I11</f>
        <v>0</v>
      </c>
      <c r="D42">
        <f>D40*$I11</f>
        <v>0</v>
      </c>
    </row>
    <row r="43" spans="1:13" x14ac:dyDescent="0.25">
      <c r="B43" t="s">
        <v>11</v>
      </c>
      <c r="C43">
        <f>C40*$I17</f>
        <v>0</v>
      </c>
      <c r="D43">
        <f>D40*$I17</f>
        <v>0</v>
      </c>
    </row>
    <row r="44" spans="1:13" x14ac:dyDescent="0.25">
      <c r="A44" t="s">
        <v>12</v>
      </c>
      <c r="B44" s="1" t="s">
        <v>13</v>
      </c>
      <c r="C44">
        <f>C41*$I10</f>
        <v>8035200</v>
      </c>
      <c r="D44">
        <f>D41*$I10</f>
        <v>3333120</v>
      </c>
    </row>
    <row r="45" spans="1:13" x14ac:dyDescent="0.25">
      <c r="B45" s="1" t="s">
        <v>14</v>
      </c>
      <c r="C45">
        <f>C42*$I16</f>
        <v>0</v>
      </c>
      <c r="D45">
        <f>D42*$I16</f>
        <v>0</v>
      </c>
    </row>
    <row r="46" spans="1:13" x14ac:dyDescent="0.25">
      <c r="B46" s="1" t="s">
        <v>15</v>
      </c>
      <c r="C46">
        <f>C43*$I22</f>
        <v>0</v>
      </c>
      <c r="D46">
        <f>D43*$I22</f>
        <v>0</v>
      </c>
    </row>
    <row r="47" spans="1:13" ht="15.6" x14ac:dyDescent="0.35">
      <c r="B47" s="1" t="s">
        <v>36</v>
      </c>
      <c r="C47">
        <f>C44+C45+C46</f>
        <v>8035200</v>
      </c>
      <c r="D47">
        <f>D44+D45+D46</f>
        <v>3333120</v>
      </c>
    </row>
    <row r="48" spans="1:13" ht="15.6" x14ac:dyDescent="0.35">
      <c r="B48" s="1" t="s">
        <v>36</v>
      </c>
      <c r="C48">
        <f>C47/1000</f>
        <v>8035.2</v>
      </c>
      <c r="D48">
        <f>D47/1000</f>
        <v>3333.12</v>
      </c>
    </row>
    <row r="49" spans="1:8" x14ac:dyDescent="0.25">
      <c r="B49" s="1" t="s">
        <v>46</v>
      </c>
      <c r="C49">
        <v>210000</v>
      </c>
    </row>
    <row r="50" spans="1:8" x14ac:dyDescent="0.25">
      <c r="B50" s="1" t="s">
        <v>69</v>
      </c>
      <c r="D50">
        <f>$D44*$I$10^2/(3*$C$49*D28)</f>
        <v>438.16051781436141</v>
      </c>
      <c r="E50">
        <f>$D44*$I$10^2/(3*$C$49*E28)</f>
        <v>114.17237206877545</v>
      </c>
      <c r="F50">
        <f>$D44*$I$10^2/(3*$C$49*F28)</f>
        <v>63.999798020925411</v>
      </c>
      <c r="G50">
        <f>$D44*$I$10^2/(3*$C$49*G28)</f>
        <v>26.713011678667101</v>
      </c>
      <c r="H50">
        <f>$D44*$I$10^2/(3*$C$49*H28)</f>
        <v>15.07119327452158</v>
      </c>
    </row>
    <row r="51" spans="1:8" x14ac:dyDescent="0.25">
      <c r="B51" s="1" t="s">
        <v>70</v>
      </c>
      <c r="D51">
        <f>$D44*$I10*($I22-$I10)/(2*$C$49*D28)</f>
        <v>-445.22762294039956</v>
      </c>
      <c r="E51">
        <f>$D44*$I10*($I22-$I10)/(2*$C$49*E28)</f>
        <v>-116.01386194085248</v>
      </c>
      <c r="F51">
        <f>$D44*$I10*($I22-$I10)/(2*$C$49*F28)</f>
        <v>-65.032052827714523</v>
      </c>
      <c r="G51">
        <f>$D44*$I10*($I22-$I10)/(2*$C$49*G28)</f>
        <v>-27.143866705742376</v>
      </c>
      <c r="H51">
        <f>$D44*$I10*($I22-$I10)/(2*$C$49*H28)</f>
        <v>-15.314277037013863</v>
      </c>
    </row>
    <row r="52" spans="1:8" x14ac:dyDescent="0.25">
      <c r="B52" s="1" t="s">
        <v>71</v>
      </c>
      <c r="D52">
        <f>$D45*$I$16^2/(3*$C$49*D28)</f>
        <v>0</v>
      </c>
      <c r="E52">
        <f>$D45*$I$16^2/(3*$C$49*E28)</f>
        <v>0</v>
      </c>
      <c r="F52">
        <f>$D45*$I$16^2/(3*$C$49*F28)</f>
        <v>0</v>
      </c>
      <c r="G52">
        <f>$D45*$I$16^2/(3*$C$49*G28)</f>
        <v>0</v>
      </c>
      <c r="H52">
        <f>$D45*$I$16^2/(3*$C$49*H28)</f>
        <v>0</v>
      </c>
    </row>
    <row r="53" spans="1:8" x14ac:dyDescent="0.25">
      <c r="B53" s="1" t="s">
        <v>72</v>
      </c>
      <c r="D53">
        <f>$D45*$I16*($I22-$I16)/(2*$C$49*D$28)</f>
        <v>0</v>
      </c>
      <c r="E53">
        <f>$D45*$I16*($I22-$I16)/(2*$C$49*E$28)</f>
        <v>0</v>
      </c>
      <c r="F53">
        <f>$D45*$I16*($I22-$I16)/(2*$C$49*F$28)</f>
        <v>0</v>
      </c>
      <c r="G53">
        <f>$D45*$I16*($I22-$I16)/(2*$C$49*G$28)</f>
        <v>0</v>
      </c>
      <c r="H53">
        <f>$D45*$I16*($I22-$I16)/(2*$C$49*H$28)</f>
        <v>0</v>
      </c>
    </row>
    <row r="54" spans="1:8" x14ac:dyDescent="0.25">
      <c r="B54" s="1" t="s">
        <v>73</v>
      </c>
      <c r="D54">
        <f>$D46*$I$22^2/(3*$C$49*D28)</f>
        <v>0</v>
      </c>
      <c r="E54">
        <f>$D46*$I$22^2/(3*$C$49*E28)</f>
        <v>0</v>
      </c>
      <c r="F54">
        <f>$D46*$I$22^2/(3*$C$49*F28)</f>
        <v>0</v>
      </c>
      <c r="G54">
        <f>$D46*$I$22^2/(3*$C$49*G28)</f>
        <v>0</v>
      </c>
      <c r="H54">
        <f>$D46*$I$22^2/(3*$C$49*H28)</f>
        <v>0</v>
      </c>
    </row>
    <row r="55" spans="1:8" x14ac:dyDescent="0.25">
      <c r="B55" s="1" t="s">
        <v>74</v>
      </c>
      <c r="D55">
        <f>SUM(D50:D54)</f>
        <v>-7.0671051260381432</v>
      </c>
      <c r="E55">
        <f>SUM(E50:E54)</f>
        <v>-1.8414898720770339</v>
      </c>
      <c r="F55">
        <f>SUM(F50:F54)</f>
        <v>-1.032254806789112</v>
      </c>
      <c r="G55">
        <f>SUM(G50:G54)</f>
        <v>-0.43085502707527468</v>
      </c>
      <c r="H55">
        <f>SUM(H50:H54)</f>
        <v>-0.24308376249228303</v>
      </c>
    </row>
    <row r="56" spans="1:8" x14ac:dyDescent="0.25">
      <c r="B56" s="1" t="s">
        <v>75</v>
      </c>
      <c r="D56">
        <f>1000*D55/$I22</f>
        <v>-7.0671051260381423</v>
      </c>
      <c r="E56">
        <f>1000*E55/$I22</f>
        <v>-1.8414898720770339</v>
      </c>
      <c r="F56">
        <f>1000*F55/$I22</f>
        <v>-1.0322548067891122</v>
      </c>
      <c r="G56">
        <f>1000*G55/$I22</f>
        <v>-0.43085502707527468</v>
      </c>
      <c r="H56">
        <f>1000*H55/$I22</f>
        <v>-0.24308376249228303</v>
      </c>
    </row>
    <row r="57" spans="1:8" x14ac:dyDescent="0.25">
      <c r="B57" s="1" t="s">
        <v>45</v>
      </c>
      <c r="D57">
        <f>1000*($D44*$I10+$D45*$I16+$D46*$I22)/(3*$C49*D28)</f>
        <v>141.34210252076173</v>
      </c>
      <c r="E57">
        <f>1000*($D44*$I10+$D45*$I16+$D46*$I22)/(3*$C49*E28)</f>
        <v>36.829797441540471</v>
      </c>
      <c r="F57">
        <f>1000*($D44*$I10+$D45*$I16+$D46*$I22)/(3*$C49*F28)</f>
        <v>20.645096135782389</v>
      </c>
      <c r="G57">
        <f>1000*($D44*$I10+$D45*$I16+$D46*$I22)/(3*$C49*G28)</f>
        <v>8.6171005415055166</v>
      </c>
      <c r="H57">
        <f>1000*($D44*$I10+$D45*$I16+$D46*$I22)/(3*$C49*H28)</f>
        <v>4.8616752498456712</v>
      </c>
    </row>
    <row r="58" spans="1:8" ht="13.8" thickBot="1" x14ac:dyDescent="0.3">
      <c r="B58" s="1"/>
    </row>
    <row r="59" spans="1:8" ht="14.4" thickTop="1" thickBot="1" x14ac:dyDescent="0.3">
      <c r="A59" t="s">
        <v>18</v>
      </c>
      <c r="C59" s="2" t="s">
        <v>19</v>
      </c>
      <c r="D59" s="13">
        <v>51</v>
      </c>
      <c r="E59" s="13">
        <v>76</v>
      </c>
      <c r="F59" s="13">
        <v>89</v>
      </c>
      <c r="G59" s="13">
        <v>114</v>
      </c>
      <c r="H59" s="13">
        <v>133</v>
      </c>
    </row>
    <row r="60" spans="1:8" ht="14.4" thickTop="1" thickBot="1" x14ac:dyDescent="0.3">
      <c r="B60" t="s">
        <v>53</v>
      </c>
      <c r="D60" s="14" t="str">
        <f>IF($C47&lt;D31,"ja","neen")</f>
        <v>neen</v>
      </c>
      <c r="E60" s="14" t="str">
        <f>IF($C47&lt;E31,"ja","neen")</f>
        <v>neen</v>
      </c>
      <c r="F60" s="14" t="str">
        <f>IF($C47&lt;F31,"ja","neen")</f>
        <v>neen</v>
      </c>
      <c r="G60" s="14" t="str">
        <f>IF($C47&lt;G31,"ja","neen")</f>
        <v>neen</v>
      </c>
      <c r="H60" s="14" t="str">
        <f>IF($C47&lt;H31,"ja","neen")</f>
        <v>ja</v>
      </c>
    </row>
    <row r="61" spans="1:8" ht="14.4" thickTop="1" thickBot="1" x14ac:dyDescent="0.3">
      <c r="B61" t="s">
        <v>52</v>
      </c>
      <c r="C61">
        <v>2</v>
      </c>
      <c r="D61" s="14" t="str">
        <f>IF(D$56&lt;$C61,"ja","neen")</f>
        <v>ja</v>
      </c>
      <c r="E61" s="14" t="str">
        <f t="shared" ref="E61:H65" si="0">IF(E$56&lt;$C61,"ja","neen")</f>
        <v>ja</v>
      </c>
      <c r="F61" s="14" t="str">
        <f t="shared" si="0"/>
        <v>ja</v>
      </c>
      <c r="G61" s="14" t="str">
        <f t="shared" si="0"/>
        <v>ja</v>
      </c>
      <c r="H61" s="14" t="str">
        <f t="shared" si="0"/>
        <v>ja</v>
      </c>
    </row>
    <row r="62" spans="1:8" ht="14.4" thickTop="1" thickBot="1" x14ac:dyDescent="0.3">
      <c r="B62" t="s">
        <v>48</v>
      </c>
      <c r="C62">
        <v>5</v>
      </c>
      <c r="D62" s="14" t="str">
        <f>IF(D$56&lt;$C62,"ja","neen")</f>
        <v>ja</v>
      </c>
      <c r="E62" s="14" t="str">
        <f t="shared" si="0"/>
        <v>ja</v>
      </c>
      <c r="F62" s="14" t="str">
        <f t="shared" si="0"/>
        <v>ja</v>
      </c>
      <c r="G62" s="14" t="str">
        <f t="shared" si="0"/>
        <v>ja</v>
      </c>
      <c r="H62" s="14" t="str">
        <f t="shared" si="0"/>
        <v>ja</v>
      </c>
    </row>
    <row r="63" spans="1:8" ht="14.4" thickTop="1" thickBot="1" x14ac:dyDescent="0.3">
      <c r="B63" t="s">
        <v>49</v>
      </c>
      <c r="C63">
        <v>10</v>
      </c>
      <c r="D63" s="14" t="str">
        <f>IF(D$56&lt;$C63,"ja","neen")</f>
        <v>ja</v>
      </c>
      <c r="E63" s="14" t="str">
        <f t="shared" si="0"/>
        <v>ja</v>
      </c>
      <c r="F63" s="14" t="str">
        <f t="shared" si="0"/>
        <v>ja</v>
      </c>
      <c r="G63" s="14" t="str">
        <f t="shared" si="0"/>
        <v>ja</v>
      </c>
      <c r="H63" s="14" t="str">
        <f t="shared" si="0"/>
        <v>ja</v>
      </c>
    </row>
    <row r="64" spans="1:8" ht="14.4" thickTop="1" thickBot="1" x14ac:dyDescent="0.3">
      <c r="B64" t="s">
        <v>50</v>
      </c>
      <c r="C64">
        <v>25</v>
      </c>
      <c r="D64" s="14" t="str">
        <f>IF(D$56&lt;$C64,"ja","neen")</f>
        <v>ja</v>
      </c>
      <c r="E64" s="14" t="str">
        <f t="shared" si="0"/>
        <v>ja</v>
      </c>
      <c r="F64" s="14" t="str">
        <f t="shared" si="0"/>
        <v>ja</v>
      </c>
      <c r="G64" s="14" t="str">
        <f t="shared" si="0"/>
        <v>ja</v>
      </c>
      <c r="H64" s="14" t="str">
        <f t="shared" si="0"/>
        <v>ja</v>
      </c>
    </row>
    <row r="65" spans="1:16" ht="14.4" thickTop="1" thickBot="1" x14ac:dyDescent="0.3">
      <c r="B65" t="s">
        <v>51</v>
      </c>
      <c r="C65">
        <v>50</v>
      </c>
      <c r="D65" s="14" t="str">
        <f>IF(D$56&lt;$C65,"ja","neen")</f>
        <v>ja</v>
      </c>
      <c r="E65" s="14" t="str">
        <f t="shared" si="0"/>
        <v>ja</v>
      </c>
      <c r="F65" s="14" t="str">
        <f t="shared" si="0"/>
        <v>ja</v>
      </c>
      <c r="G65" s="14" t="str">
        <f t="shared" si="0"/>
        <v>ja</v>
      </c>
      <c r="H65" s="14" t="str">
        <f t="shared" si="0"/>
        <v>ja</v>
      </c>
    </row>
    <row r="66" spans="1:16" ht="13.8" thickTop="1" x14ac:dyDescent="0.25"/>
    <row r="67" spans="1:16" x14ac:dyDescent="0.25">
      <c r="A67" t="s">
        <v>61</v>
      </c>
      <c r="B67" t="s">
        <v>79</v>
      </c>
      <c r="C67" t="s">
        <v>65</v>
      </c>
      <c r="D67" t="s">
        <v>56</v>
      </c>
      <c r="E67" t="s">
        <v>62</v>
      </c>
      <c r="F67" t="s">
        <v>80</v>
      </c>
      <c r="G67" t="s">
        <v>56</v>
      </c>
      <c r="H67" t="s">
        <v>63</v>
      </c>
      <c r="I67" t="s">
        <v>81</v>
      </c>
      <c r="J67" t="s">
        <v>56</v>
      </c>
      <c r="K67" t="s">
        <v>57</v>
      </c>
      <c r="L67" t="s">
        <v>64</v>
      </c>
      <c r="M67" t="s">
        <v>58</v>
      </c>
    </row>
    <row r="68" spans="1:16" x14ac:dyDescent="0.25">
      <c r="M68" t="s">
        <v>60</v>
      </c>
      <c r="N68" t="s">
        <v>59</v>
      </c>
      <c r="P68" t="s">
        <v>82</v>
      </c>
    </row>
    <row r="69" spans="1:16" x14ac:dyDescent="0.25">
      <c r="A69">
        <f>M3</f>
        <v>2</v>
      </c>
      <c r="B69">
        <f>E5+E6+E7+G7+E8+E9</f>
        <v>2000</v>
      </c>
      <c r="C69">
        <f>N3</f>
        <v>2100</v>
      </c>
      <c r="D69">
        <f>O3</f>
        <v>4</v>
      </c>
      <c r="E69">
        <f>P3</f>
        <v>0</v>
      </c>
      <c r="F69">
        <f>E11+E12+E13+G13+E14+E15</f>
        <v>0</v>
      </c>
      <c r="G69">
        <f>Q3</f>
        <v>0</v>
      </c>
      <c r="H69">
        <f>R3</f>
        <v>0</v>
      </c>
      <c r="I69">
        <f>E17+E18+E19+G19+E20+E21</f>
        <v>0</v>
      </c>
      <c r="J69">
        <f>S3</f>
        <v>0</v>
      </c>
      <c r="K69">
        <f>T3</f>
        <v>8035.2</v>
      </c>
      <c r="L69">
        <f>U3</f>
        <v>133</v>
      </c>
      <c r="M69">
        <f>V3</f>
        <v>-0.24308376249228303</v>
      </c>
      <c r="N69" t="str">
        <f>W3</f>
        <v>TB1</v>
      </c>
      <c r="P69">
        <v>2</v>
      </c>
    </row>
    <row r="72" spans="1:16" x14ac:dyDescent="0.25">
      <c r="A72">
        <v>3</v>
      </c>
      <c r="B72">
        <v>900</v>
      </c>
      <c r="C72">
        <v>2100</v>
      </c>
      <c r="D72">
        <v>0.35072999999999999</v>
      </c>
      <c r="E72">
        <v>3</v>
      </c>
      <c r="F72">
        <v>900</v>
      </c>
      <c r="G72">
        <v>0.35072999999999999</v>
      </c>
      <c r="H72">
        <v>1</v>
      </c>
      <c r="I72">
        <v>400</v>
      </c>
      <c r="J72">
        <v>0.08</v>
      </c>
      <c r="K72">
        <v>3695.03995644</v>
      </c>
      <c r="L72">
        <v>89</v>
      </c>
      <c r="M72">
        <v>10.177322147463181</v>
      </c>
      <c r="N72" t="s">
        <v>50</v>
      </c>
    </row>
    <row r="73" spans="1:16" x14ac:dyDescent="0.25">
      <c r="A73">
        <v>1</v>
      </c>
      <c r="B73">
        <v>900</v>
      </c>
      <c r="C73">
        <v>1500</v>
      </c>
      <c r="D73">
        <v>0.63617251235193306</v>
      </c>
      <c r="E73">
        <v>2</v>
      </c>
      <c r="F73">
        <v>1100</v>
      </c>
      <c r="G73">
        <v>0.33</v>
      </c>
      <c r="H73">
        <v>3</v>
      </c>
      <c r="I73">
        <v>1100</v>
      </c>
      <c r="J73">
        <v>0.52393000000000001</v>
      </c>
      <c r="K73">
        <v>6042.7472025197558</v>
      </c>
      <c r="L73">
        <v>114</v>
      </c>
      <c r="M73">
        <v>5.8199232489767292</v>
      </c>
      <c r="N73" t="s">
        <v>49</v>
      </c>
    </row>
    <row r="74" spans="1:16" x14ac:dyDescent="0.25">
      <c r="A74">
        <v>2</v>
      </c>
      <c r="B74">
        <v>1100</v>
      </c>
      <c r="C74">
        <v>1500</v>
      </c>
      <c r="D74">
        <v>0.33</v>
      </c>
      <c r="E74">
        <v>3</v>
      </c>
      <c r="F74">
        <v>1100</v>
      </c>
      <c r="G74">
        <v>0.52393000000000001</v>
      </c>
      <c r="H74">
        <v>3</v>
      </c>
      <c r="I74">
        <v>1100</v>
      </c>
      <c r="J74">
        <v>0.52393000000000001</v>
      </c>
      <c r="K74">
        <v>5445.0026571599992</v>
      </c>
      <c r="L74">
        <v>114</v>
      </c>
      <c r="M74">
        <v>5.2282481501497395</v>
      </c>
      <c r="N74" t="s">
        <v>49</v>
      </c>
    </row>
    <row r="75" spans="1:16" x14ac:dyDescent="0.25">
      <c r="A75">
        <v>2</v>
      </c>
      <c r="B75">
        <v>1100</v>
      </c>
      <c r="C75">
        <v>1500</v>
      </c>
      <c r="D75">
        <v>0.33</v>
      </c>
      <c r="E75">
        <v>1</v>
      </c>
      <c r="F75">
        <v>900</v>
      </c>
      <c r="G75">
        <v>0.63617251235193306</v>
      </c>
      <c r="H75">
        <v>1</v>
      </c>
      <c r="I75">
        <v>900</v>
      </c>
      <c r="J75">
        <v>0.63617251235193306</v>
      </c>
      <c r="K75">
        <v>6540.0810903556212</v>
      </c>
      <c r="L75">
        <v>114</v>
      </c>
      <c r="M75">
        <v>6.4213881841051208</v>
      </c>
      <c r="N75" t="s">
        <v>49</v>
      </c>
    </row>
    <row r="76" spans="1:16" x14ac:dyDescent="0.25">
      <c r="A76">
        <v>2</v>
      </c>
      <c r="B76">
        <v>1100</v>
      </c>
      <c r="C76">
        <v>2100</v>
      </c>
      <c r="D76">
        <v>0.33</v>
      </c>
      <c r="E76">
        <v>3</v>
      </c>
      <c r="F76">
        <v>1100</v>
      </c>
      <c r="G76">
        <v>0.52393000000000001</v>
      </c>
      <c r="H76">
        <v>3</v>
      </c>
      <c r="I76">
        <v>1100</v>
      </c>
      <c r="J76">
        <v>0.52393000000000001</v>
      </c>
      <c r="K76">
        <v>6784.2825771599992</v>
      </c>
      <c r="L76">
        <v>114</v>
      </c>
      <c r="M76">
        <v>7.9145507157676622</v>
      </c>
      <c r="N76" t="s">
        <v>49</v>
      </c>
    </row>
    <row r="77" spans="1:16" x14ac:dyDescent="0.25">
      <c r="A77">
        <f>M11</f>
        <v>0</v>
      </c>
      <c r="B77">
        <f>E13+E14+E15+G15+E16+E17</f>
        <v>0</v>
      </c>
      <c r="C77">
        <f>N11</f>
        <v>0</v>
      </c>
      <c r="D77">
        <f>O11</f>
        <v>0</v>
      </c>
      <c r="E77">
        <f>P11</f>
        <v>0</v>
      </c>
      <c r="F77">
        <f>E19+E20+E21+G21+E22+E23</f>
        <v>0</v>
      </c>
      <c r="G77">
        <f>Q11</f>
        <v>0</v>
      </c>
      <c r="H77">
        <f>R11</f>
        <v>0</v>
      </c>
      <c r="I77">
        <f>E25+E26+E27+G27+E28+E29</f>
        <v>457295.44008785533</v>
      </c>
      <c r="J77">
        <f>S11</f>
        <v>3</v>
      </c>
      <c r="K77">
        <f>T11</f>
        <v>0</v>
      </c>
      <c r="L77">
        <f>U11</f>
        <v>0</v>
      </c>
      <c r="M77">
        <f>V11</f>
        <v>1</v>
      </c>
      <c r="N77">
        <f>W11</f>
        <v>0</v>
      </c>
    </row>
    <row r="78" spans="1:16" x14ac:dyDescent="0.25">
      <c r="A78">
        <v>3</v>
      </c>
      <c r="B78">
        <v>900</v>
      </c>
      <c r="C78">
        <v>1500</v>
      </c>
      <c r="D78">
        <v>0.35072999999999999</v>
      </c>
      <c r="E78">
        <v>6</v>
      </c>
      <c r="F78">
        <v>400</v>
      </c>
      <c r="G78">
        <v>0.08</v>
      </c>
      <c r="H78">
        <v>0</v>
      </c>
      <c r="I78">
        <v>0</v>
      </c>
      <c r="J78">
        <v>0</v>
      </c>
      <c r="K78">
        <v>1472.05431</v>
      </c>
      <c r="L78">
        <v>76</v>
      </c>
      <c r="M78">
        <v>5.195483103336386</v>
      </c>
      <c r="N78" t="s">
        <v>49</v>
      </c>
    </row>
    <row r="79" spans="1:16" x14ac:dyDescent="0.25">
      <c r="A79">
        <v>1</v>
      </c>
      <c r="B79">
        <v>700</v>
      </c>
      <c r="C79">
        <v>1500</v>
      </c>
      <c r="D79">
        <v>0.38484510006474965</v>
      </c>
      <c r="E79">
        <v>9</v>
      </c>
      <c r="F79">
        <v>1300</v>
      </c>
      <c r="G79">
        <v>0.43073</v>
      </c>
      <c r="H79">
        <v>1</v>
      </c>
      <c r="I79">
        <v>400</v>
      </c>
      <c r="J79">
        <v>0.08</v>
      </c>
      <c r="K79">
        <v>3529.9935028940549</v>
      </c>
      <c r="L79">
        <v>89</v>
      </c>
      <c r="M79">
        <v>8.4747659265796482</v>
      </c>
      <c r="N79" t="s">
        <v>49</v>
      </c>
    </row>
    <row r="80" spans="1:16" x14ac:dyDescent="0.25">
      <c r="A80">
        <v>1</v>
      </c>
      <c r="B80">
        <v>700</v>
      </c>
      <c r="C80">
        <v>2100</v>
      </c>
      <c r="D80">
        <v>0.38484510006474965</v>
      </c>
      <c r="E80">
        <v>9</v>
      </c>
      <c r="F80">
        <v>1300</v>
      </c>
      <c r="G80">
        <v>0.43073</v>
      </c>
      <c r="H80">
        <v>1</v>
      </c>
      <c r="I80">
        <v>400</v>
      </c>
      <c r="J80">
        <v>0.08</v>
      </c>
      <c r="K80">
        <v>4400.4925001569918</v>
      </c>
      <c r="L80">
        <v>114</v>
      </c>
      <c r="M80">
        <v>5.3374700366186643</v>
      </c>
      <c r="N80" t="s">
        <v>49</v>
      </c>
    </row>
    <row r="81" spans="1:15" x14ac:dyDescent="0.25">
      <c r="A81">
        <v>1</v>
      </c>
      <c r="B81">
        <v>700</v>
      </c>
      <c r="C81">
        <v>2100</v>
      </c>
      <c r="D81">
        <v>0.38484510006474965</v>
      </c>
      <c r="E81">
        <v>7</v>
      </c>
      <c r="F81">
        <v>1100</v>
      </c>
      <c r="G81">
        <v>0.46484510006474966</v>
      </c>
      <c r="H81">
        <v>3</v>
      </c>
      <c r="I81">
        <v>700</v>
      </c>
      <c r="J81">
        <v>0.21217</v>
      </c>
      <c r="K81">
        <v>5514.0692760715347</v>
      </c>
      <c r="L81">
        <v>114</v>
      </c>
      <c r="M81">
        <v>6.9193577726197288</v>
      </c>
      <c r="N81" t="s">
        <v>49</v>
      </c>
    </row>
    <row r="90" spans="1:15" x14ac:dyDescent="0.25">
      <c r="A90">
        <v>2</v>
      </c>
      <c r="B90">
        <v>700</v>
      </c>
      <c r="C90">
        <v>600</v>
      </c>
      <c r="D90">
        <v>0.14000000000000001</v>
      </c>
      <c r="E90">
        <v>2</v>
      </c>
      <c r="F90">
        <v>400</v>
      </c>
      <c r="G90">
        <v>0.24</v>
      </c>
      <c r="H90">
        <v>3</v>
      </c>
      <c r="I90">
        <v>900</v>
      </c>
      <c r="J90">
        <v>0.35072999999999999</v>
      </c>
      <c r="K90">
        <v>1598.105376</v>
      </c>
      <c r="L90">
        <v>76</v>
      </c>
      <c r="M90">
        <v>3.6815039213699228</v>
      </c>
      <c r="N90" t="s">
        <v>48</v>
      </c>
      <c r="O90">
        <v>76</v>
      </c>
    </row>
    <row r="91" spans="1:15" x14ac:dyDescent="0.25">
      <c r="A91">
        <v>2</v>
      </c>
      <c r="B91">
        <v>700</v>
      </c>
      <c r="C91">
        <v>600</v>
      </c>
      <c r="D91">
        <v>0.14000000000000001</v>
      </c>
      <c r="E91">
        <v>2</v>
      </c>
      <c r="F91">
        <v>700</v>
      </c>
      <c r="G91">
        <v>0.49</v>
      </c>
      <c r="H91">
        <v>3</v>
      </c>
      <c r="I91">
        <v>900</v>
      </c>
      <c r="J91">
        <v>0.35072999999999999</v>
      </c>
      <c r="K91">
        <v>2152.2636360000001</v>
      </c>
      <c r="L91">
        <v>76</v>
      </c>
      <c r="M91">
        <v>5.0549232905418275</v>
      </c>
      <c r="N91" t="s">
        <v>49</v>
      </c>
      <c r="O91">
        <v>76</v>
      </c>
    </row>
    <row r="92" spans="1:15" x14ac:dyDescent="0.25">
      <c r="A92">
        <v>2</v>
      </c>
      <c r="B92">
        <v>1100</v>
      </c>
      <c r="C92">
        <v>800</v>
      </c>
      <c r="D92">
        <v>0.33</v>
      </c>
      <c r="E92">
        <v>3</v>
      </c>
      <c r="F92">
        <v>1100</v>
      </c>
      <c r="G92">
        <v>0.52393000000000001</v>
      </c>
      <c r="H92">
        <v>0</v>
      </c>
      <c r="I92">
        <v>0</v>
      </c>
      <c r="J92">
        <v>0</v>
      </c>
      <c r="K92">
        <v>1778.1906779999999</v>
      </c>
      <c r="L92">
        <v>76</v>
      </c>
      <c r="M92">
        <v>3.6547758802955297</v>
      </c>
      <c r="N92" t="s">
        <v>48</v>
      </c>
      <c r="O92">
        <v>89</v>
      </c>
    </row>
    <row r="93" spans="1:15" x14ac:dyDescent="0.25">
      <c r="A93">
        <v>2</v>
      </c>
      <c r="B93">
        <v>1100</v>
      </c>
      <c r="C93">
        <v>800</v>
      </c>
      <c r="D93">
        <v>0.33</v>
      </c>
      <c r="E93">
        <v>4</v>
      </c>
      <c r="F93">
        <v>1100</v>
      </c>
      <c r="G93">
        <v>0.52393000000000001</v>
      </c>
      <c r="H93">
        <v>0</v>
      </c>
      <c r="I93">
        <v>0</v>
      </c>
      <c r="J93">
        <v>0</v>
      </c>
      <c r="K93">
        <v>2089.4050980000002</v>
      </c>
      <c r="L93">
        <v>76</v>
      </c>
      <c r="M93">
        <v>5.2454361905582063</v>
      </c>
      <c r="N93" t="s">
        <v>49</v>
      </c>
      <c r="O93">
        <v>89</v>
      </c>
    </row>
    <row r="94" spans="1:15" x14ac:dyDescent="0.25">
      <c r="A94">
        <v>2</v>
      </c>
      <c r="B94">
        <v>900</v>
      </c>
      <c r="C94">
        <v>800</v>
      </c>
      <c r="D94">
        <v>0.81</v>
      </c>
      <c r="E94">
        <v>3</v>
      </c>
      <c r="F94">
        <v>1100</v>
      </c>
      <c r="G94">
        <v>0.52393000000000001</v>
      </c>
      <c r="H94">
        <v>0</v>
      </c>
      <c r="I94">
        <v>0</v>
      </c>
      <c r="J94">
        <v>0</v>
      </c>
      <c r="K94">
        <v>3419.8306379999995</v>
      </c>
      <c r="L94">
        <v>89</v>
      </c>
      <c r="M94">
        <v>5.1349126634721411</v>
      </c>
      <c r="N94" t="s">
        <v>49</v>
      </c>
      <c r="O94">
        <v>89</v>
      </c>
    </row>
    <row r="95" spans="1:15" x14ac:dyDescent="0.25">
      <c r="A95">
        <v>2</v>
      </c>
      <c r="B95">
        <v>900</v>
      </c>
      <c r="C95">
        <v>800</v>
      </c>
      <c r="D95">
        <v>0.81</v>
      </c>
      <c r="E95">
        <v>4</v>
      </c>
      <c r="F95">
        <v>1100</v>
      </c>
      <c r="G95">
        <v>0.52393000000000001</v>
      </c>
      <c r="H95">
        <v>0</v>
      </c>
      <c r="I95">
        <v>0</v>
      </c>
      <c r="J95">
        <v>0</v>
      </c>
      <c r="K95">
        <v>3731.0450579999997</v>
      </c>
      <c r="L95">
        <v>89</v>
      </c>
      <c r="M95">
        <v>6.3865188809752516</v>
      </c>
      <c r="N95" t="s">
        <v>49</v>
      </c>
      <c r="O95">
        <v>89</v>
      </c>
    </row>
    <row r="96" spans="1:15" x14ac:dyDescent="0.25">
      <c r="A96">
        <v>2</v>
      </c>
      <c r="B96">
        <v>600</v>
      </c>
      <c r="C96">
        <v>800</v>
      </c>
      <c r="D96">
        <v>0.54</v>
      </c>
      <c r="E96">
        <v>4</v>
      </c>
      <c r="F96">
        <v>1100</v>
      </c>
      <c r="G96">
        <v>0.52393000000000001</v>
      </c>
      <c r="H96">
        <v>0</v>
      </c>
      <c r="I96">
        <v>0</v>
      </c>
      <c r="J96">
        <v>0</v>
      </c>
      <c r="K96">
        <v>3184.2950580000002</v>
      </c>
      <c r="L96">
        <v>89</v>
      </c>
      <c r="M96">
        <v>5.6805711914109995</v>
      </c>
      <c r="N96" t="s">
        <v>49</v>
      </c>
      <c r="O96">
        <v>89</v>
      </c>
    </row>
    <row r="97" spans="1:15" x14ac:dyDescent="0.25">
      <c r="A97">
        <v>2</v>
      </c>
      <c r="B97">
        <v>900</v>
      </c>
      <c r="C97">
        <v>800</v>
      </c>
      <c r="D97">
        <v>0.54</v>
      </c>
      <c r="E97">
        <v>4</v>
      </c>
      <c r="F97">
        <v>1100</v>
      </c>
      <c r="G97">
        <v>0.52393000000000001</v>
      </c>
      <c r="H97">
        <v>0</v>
      </c>
      <c r="I97">
        <v>0</v>
      </c>
      <c r="J97">
        <v>0</v>
      </c>
      <c r="K97">
        <v>2798.4450779999997</v>
      </c>
      <c r="L97">
        <v>89</v>
      </c>
      <c r="M97">
        <v>4.3851757513295304</v>
      </c>
      <c r="N97" t="s">
        <v>48</v>
      </c>
      <c r="O97">
        <v>89</v>
      </c>
    </row>
    <row r="98" spans="1:15" x14ac:dyDescent="0.25">
      <c r="A98">
        <v>2</v>
      </c>
      <c r="B98">
        <v>1100</v>
      </c>
      <c r="C98">
        <v>800</v>
      </c>
      <c r="D98">
        <v>0.33</v>
      </c>
      <c r="E98">
        <v>2</v>
      </c>
      <c r="F98">
        <v>1100</v>
      </c>
      <c r="G98">
        <v>0.33</v>
      </c>
      <c r="H98">
        <v>3</v>
      </c>
      <c r="I98">
        <v>1100</v>
      </c>
      <c r="J98">
        <v>0.52393000000000001</v>
      </c>
      <c r="K98">
        <v>2742.5716560000001</v>
      </c>
      <c r="L98">
        <v>89</v>
      </c>
      <c r="M98">
        <v>3.6777040221211168</v>
      </c>
      <c r="N98" t="s">
        <v>48</v>
      </c>
      <c r="O98">
        <v>89</v>
      </c>
    </row>
    <row r="110" spans="1:15" x14ac:dyDescent="0.25">
      <c r="A110">
        <v>2</v>
      </c>
      <c r="B110">
        <v>700</v>
      </c>
      <c r="C110">
        <v>1500</v>
      </c>
      <c r="D110">
        <v>0.14000000000000001</v>
      </c>
      <c r="E110">
        <v>2</v>
      </c>
      <c r="F110">
        <v>400</v>
      </c>
      <c r="G110">
        <v>0.24</v>
      </c>
      <c r="H110">
        <v>3</v>
      </c>
      <c r="I110">
        <v>900</v>
      </c>
      <c r="J110">
        <v>0.35072999999999999</v>
      </c>
      <c r="K110">
        <v>2663.509716</v>
      </c>
      <c r="L110">
        <v>89</v>
      </c>
      <c r="M110">
        <v>5.394326274320604</v>
      </c>
      <c r="N110" t="s">
        <v>49</v>
      </c>
    </row>
    <row r="111" spans="1:15" x14ac:dyDescent="0.25">
      <c r="A111">
        <v>2</v>
      </c>
      <c r="B111">
        <v>700</v>
      </c>
      <c r="C111">
        <v>1500</v>
      </c>
      <c r="D111">
        <v>0.14000000000000001</v>
      </c>
      <c r="E111">
        <v>2</v>
      </c>
      <c r="F111">
        <v>700</v>
      </c>
      <c r="G111">
        <v>0.49</v>
      </c>
      <c r="H111">
        <v>3</v>
      </c>
      <c r="I111">
        <v>900</v>
      </c>
      <c r="J111">
        <v>0.35072999999999999</v>
      </c>
      <c r="K111">
        <v>3582.1679759999997</v>
      </c>
      <c r="L111">
        <v>89</v>
      </c>
      <c r="M111">
        <v>7.3666637725653201</v>
      </c>
      <c r="N111" t="s">
        <v>49</v>
      </c>
    </row>
    <row r="112" spans="1:15" x14ac:dyDescent="0.25">
      <c r="A112">
        <v>2</v>
      </c>
      <c r="B112">
        <v>1100</v>
      </c>
      <c r="C112">
        <v>1500</v>
      </c>
      <c r="D112">
        <v>0.33</v>
      </c>
      <c r="E112">
        <v>3</v>
      </c>
      <c r="F112">
        <v>1100</v>
      </c>
      <c r="G112">
        <v>0.52393000000000001</v>
      </c>
      <c r="H112">
        <v>0</v>
      </c>
      <c r="I112">
        <v>0</v>
      </c>
      <c r="J112">
        <v>0</v>
      </c>
      <c r="K112">
        <v>2746.5472979999995</v>
      </c>
      <c r="L112">
        <v>89</v>
      </c>
      <c r="M112">
        <v>4.7508958136699668</v>
      </c>
      <c r="N112" t="s">
        <v>48</v>
      </c>
    </row>
    <row r="113" spans="1:14" x14ac:dyDescent="0.25">
      <c r="A113">
        <v>2</v>
      </c>
      <c r="B113">
        <v>1100</v>
      </c>
      <c r="C113">
        <v>1500</v>
      </c>
      <c r="D113">
        <v>0.33</v>
      </c>
      <c r="E113">
        <v>4</v>
      </c>
      <c r="F113">
        <v>1100</v>
      </c>
      <c r="G113">
        <v>0.52393000000000001</v>
      </c>
      <c r="H113">
        <v>0</v>
      </c>
      <c r="I113">
        <v>0</v>
      </c>
      <c r="J113">
        <v>0</v>
      </c>
      <c r="K113">
        <v>3057.7617179999997</v>
      </c>
      <c r="L113">
        <v>89</v>
      </c>
      <c r="M113">
        <v>6.0434943612128231</v>
      </c>
      <c r="N113" t="s">
        <v>49</v>
      </c>
    </row>
    <row r="114" spans="1:14" x14ac:dyDescent="0.25">
      <c r="A114">
        <v>2</v>
      </c>
      <c r="B114">
        <v>900</v>
      </c>
      <c r="C114">
        <v>1500</v>
      </c>
      <c r="D114">
        <v>0.81</v>
      </c>
      <c r="E114">
        <v>3</v>
      </c>
      <c r="F114">
        <v>1100</v>
      </c>
      <c r="G114">
        <v>0.52393000000000001</v>
      </c>
      <c r="H114">
        <v>0</v>
      </c>
      <c r="I114">
        <v>0</v>
      </c>
      <c r="J114">
        <v>0</v>
      </c>
      <c r="K114">
        <v>4932.5072579999996</v>
      </c>
      <c r="L114">
        <v>114</v>
      </c>
      <c r="M114">
        <v>4.2839405755909787</v>
      </c>
      <c r="N114" t="s">
        <v>48</v>
      </c>
    </row>
    <row r="115" spans="1:14" x14ac:dyDescent="0.25">
      <c r="A115">
        <v>2</v>
      </c>
      <c r="B115">
        <v>900</v>
      </c>
      <c r="C115">
        <v>1500</v>
      </c>
      <c r="D115">
        <v>0.81</v>
      </c>
      <c r="E115">
        <v>4</v>
      </c>
      <c r="F115">
        <v>1100</v>
      </c>
      <c r="G115">
        <v>0.52393000000000001</v>
      </c>
      <c r="H115">
        <v>0</v>
      </c>
      <c r="I115">
        <v>0</v>
      </c>
      <c r="J115">
        <v>0</v>
      </c>
      <c r="K115">
        <v>5243.721677999999</v>
      </c>
      <c r="L115">
        <v>114</v>
      </c>
      <c r="M115">
        <v>4.9953590834865791</v>
      </c>
      <c r="N115" t="s">
        <v>48</v>
      </c>
    </row>
    <row r="116" spans="1:14" x14ac:dyDescent="0.25">
      <c r="A116">
        <v>2</v>
      </c>
      <c r="B116">
        <v>600</v>
      </c>
      <c r="C116">
        <v>1500</v>
      </c>
      <c r="D116">
        <v>0.54</v>
      </c>
      <c r="E116">
        <v>4</v>
      </c>
      <c r="F116">
        <v>1100</v>
      </c>
      <c r="G116">
        <v>0.52393000000000001</v>
      </c>
      <c r="H116">
        <v>0</v>
      </c>
      <c r="I116">
        <v>0</v>
      </c>
      <c r="J116">
        <v>0</v>
      </c>
      <c r="K116">
        <v>4390.7916779999996</v>
      </c>
      <c r="L116">
        <v>114</v>
      </c>
      <c r="M116">
        <v>4.3096385264851271</v>
      </c>
      <c r="N116" t="s">
        <v>48</v>
      </c>
    </row>
    <row r="117" spans="1:14" x14ac:dyDescent="0.25">
      <c r="A117">
        <v>2</v>
      </c>
      <c r="B117">
        <v>900</v>
      </c>
      <c r="C117">
        <v>1500</v>
      </c>
      <c r="D117">
        <v>0.54</v>
      </c>
      <c r="E117">
        <v>4</v>
      </c>
      <c r="F117">
        <v>1100</v>
      </c>
      <c r="G117">
        <v>0.52393000000000001</v>
      </c>
      <c r="H117">
        <v>0</v>
      </c>
      <c r="I117">
        <v>0</v>
      </c>
      <c r="J117">
        <v>0</v>
      </c>
      <c r="K117">
        <v>4004.9416979999996</v>
      </c>
      <c r="L117">
        <v>114</v>
      </c>
      <c r="M117">
        <v>3.5699100592801072</v>
      </c>
      <c r="N117" t="s">
        <v>48</v>
      </c>
    </row>
    <row r="130" spans="1:15" x14ac:dyDescent="0.25">
      <c r="A130">
        <v>2</v>
      </c>
      <c r="B130">
        <v>700</v>
      </c>
      <c r="C130">
        <v>2100</v>
      </c>
      <c r="D130">
        <v>0.14000000000000001</v>
      </c>
      <c r="E130">
        <v>2</v>
      </c>
      <c r="F130">
        <v>400</v>
      </c>
      <c r="G130">
        <v>0.24</v>
      </c>
      <c r="H130">
        <v>3</v>
      </c>
      <c r="I130">
        <v>900</v>
      </c>
      <c r="J130">
        <v>0.35072999999999999</v>
      </c>
      <c r="K130">
        <v>3373.7792759999998</v>
      </c>
      <c r="L130">
        <v>89</v>
      </c>
      <c r="M130">
        <v>8.5067574776893427</v>
      </c>
      <c r="N130" t="s">
        <v>49</v>
      </c>
    </row>
    <row r="131" spans="1:15" x14ac:dyDescent="0.25">
      <c r="A131">
        <v>2</v>
      </c>
      <c r="B131">
        <v>700</v>
      </c>
      <c r="C131">
        <v>2100</v>
      </c>
      <c r="D131">
        <v>0.14000000000000001</v>
      </c>
      <c r="E131">
        <v>2</v>
      </c>
      <c r="F131">
        <v>700</v>
      </c>
      <c r="G131">
        <v>0.49</v>
      </c>
      <c r="H131">
        <v>3</v>
      </c>
      <c r="I131">
        <v>900</v>
      </c>
      <c r="J131">
        <v>0.35072999999999999</v>
      </c>
      <c r="K131">
        <v>4535.4375360000004</v>
      </c>
      <c r="L131">
        <v>114</v>
      </c>
      <c r="M131">
        <v>4.8362868212078229</v>
      </c>
      <c r="N131" t="s">
        <v>48</v>
      </c>
    </row>
    <row r="132" spans="1:15" x14ac:dyDescent="0.25">
      <c r="A132">
        <v>2</v>
      </c>
      <c r="B132">
        <v>1100</v>
      </c>
      <c r="C132">
        <v>2100</v>
      </c>
      <c r="D132">
        <v>0.33</v>
      </c>
      <c r="E132">
        <v>3</v>
      </c>
      <c r="F132">
        <v>1100</v>
      </c>
      <c r="G132">
        <v>0.52393000000000001</v>
      </c>
      <c r="H132">
        <v>0</v>
      </c>
      <c r="I132">
        <v>0</v>
      </c>
      <c r="J132">
        <v>0</v>
      </c>
      <c r="K132">
        <v>3576.5672579999996</v>
      </c>
      <c r="L132">
        <v>89</v>
      </c>
      <c r="M132">
        <v>7.9644489625582775</v>
      </c>
      <c r="N132" t="s">
        <v>49</v>
      </c>
    </row>
    <row r="133" spans="1:15" x14ac:dyDescent="0.25">
      <c r="A133">
        <v>2</v>
      </c>
      <c r="B133">
        <v>1100</v>
      </c>
      <c r="C133">
        <v>2100</v>
      </c>
      <c r="D133">
        <v>0.33</v>
      </c>
      <c r="E133">
        <v>4</v>
      </c>
      <c r="F133">
        <v>1100</v>
      </c>
      <c r="G133">
        <v>0.52393000000000001</v>
      </c>
      <c r="H133">
        <v>0</v>
      </c>
      <c r="I133">
        <v>0</v>
      </c>
      <c r="J133">
        <v>0</v>
      </c>
      <c r="K133">
        <v>3887.7816779999998</v>
      </c>
      <c r="L133">
        <v>89</v>
      </c>
      <c r="M133">
        <v>9.6063598916503192</v>
      </c>
      <c r="N133" t="s">
        <v>49</v>
      </c>
    </row>
    <row r="134" spans="1:15" x14ac:dyDescent="0.25">
      <c r="A134">
        <v>2</v>
      </c>
      <c r="B134">
        <v>900</v>
      </c>
      <c r="C134">
        <v>2100</v>
      </c>
      <c r="D134">
        <v>0.81</v>
      </c>
      <c r="E134">
        <v>3</v>
      </c>
      <c r="F134">
        <v>1100</v>
      </c>
      <c r="G134">
        <v>0.52393000000000001</v>
      </c>
      <c r="H134">
        <v>0</v>
      </c>
      <c r="I134">
        <v>0</v>
      </c>
      <c r="J134">
        <v>0</v>
      </c>
      <c r="K134">
        <v>6229.0872179999988</v>
      </c>
      <c r="L134">
        <v>114</v>
      </c>
      <c r="M134">
        <v>6.7072973531457256</v>
      </c>
      <c r="N134" t="s">
        <v>49</v>
      </c>
    </row>
    <row r="135" spans="1:15" x14ac:dyDescent="0.25">
      <c r="A135">
        <v>2</v>
      </c>
      <c r="B135">
        <v>900</v>
      </c>
      <c r="C135">
        <v>2100</v>
      </c>
      <c r="D135">
        <v>0.81</v>
      </c>
      <c r="E135">
        <v>4</v>
      </c>
      <c r="F135">
        <v>1100</v>
      </c>
      <c r="G135">
        <v>0.52393000000000001</v>
      </c>
      <c r="H135">
        <v>0</v>
      </c>
      <c r="I135">
        <v>0</v>
      </c>
      <c r="J135">
        <v>0</v>
      </c>
      <c r="K135">
        <v>6540.301637999999</v>
      </c>
      <c r="L135">
        <v>114</v>
      </c>
      <c r="M135">
        <v>7.5861114574262629</v>
      </c>
      <c r="N135" t="s">
        <v>49</v>
      </c>
    </row>
    <row r="136" spans="1:15" x14ac:dyDescent="0.25">
      <c r="A136">
        <v>2</v>
      </c>
      <c r="B136">
        <v>600</v>
      </c>
      <c r="C136">
        <v>2100</v>
      </c>
      <c r="D136">
        <v>0.54</v>
      </c>
      <c r="E136">
        <v>4</v>
      </c>
      <c r="F136">
        <v>1100</v>
      </c>
      <c r="G136">
        <v>0.52393000000000001</v>
      </c>
      <c r="H136">
        <v>0</v>
      </c>
      <c r="I136">
        <v>0</v>
      </c>
      <c r="J136">
        <v>0</v>
      </c>
      <c r="K136">
        <v>5424.931638</v>
      </c>
      <c r="L136">
        <v>114</v>
      </c>
      <c r="M136">
        <v>6.4435734275899659</v>
      </c>
      <c r="N136" t="s">
        <v>49</v>
      </c>
    </row>
    <row r="137" spans="1:15" x14ac:dyDescent="0.25">
      <c r="A137">
        <v>2</v>
      </c>
      <c r="B137">
        <v>900</v>
      </c>
      <c r="C137">
        <v>2100</v>
      </c>
      <c r="D137">
        <v>0.54</v>
      </c>
      <c r="E137">
        <v>4</v>
      </c>
      <c r="F137">
        <v>1100</v>
      </c>
      <c r="G137">
        <v>0.52393000000000001</v>
      </c>
      <c r="H137">
        <v>0</v>
      </c>
      <c r="I137">
        <v>0</v>
      </c>
      <c r="J137">
        <v>0</v>
      </c>
      <c r="K137">
        <v>5039.0816580000001</v>
      </c>
      <c r="L137">
        <v>114</v>
      </c>
      <c r="M137">
        <v>5.5326640678846646</v>
      </c>
      <c r="N137" t="s">
        <v>49</v>
      </c>
    </row>
    <row r="138" spans="1:1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</sheetData>
  <sheetProtection selectLockedCells="1" selectUnlockedCells="1"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W170"/>
  <sheetViews>
    <sheetView topLeftCell="C1" workbookViewId="0">
      <selection activeCell="C1" sqref="C1"/>
    </sheetView>
  </sheetViews>
  <sheetFormatPr defaultRowHeight="13.2" x14ac:dyDescent="0.25"/>
  <sheetData>
    <row r="1" spans="1:23" x14ac:dyDescent="0.25">
      <c r="M1" t="s">
        <v>61</v>
      </c>
      <c r="N1" t="s">
        <v>65</v>
      </c>
      <c r="O1" t="s">
        <v>56</v>
      </c>
      <c r="P1" t="s">
        <v>62</v>
      </c>
      <c r="Q1" t="s">
        <v>56</v>
      </c>
      <c r="R1" t="s">
        <v>63</v>
      </c>
      <c r="S1" t="s">
        <v>56</v>
      </c>
      <c r="T1" t="s">
        <v>57</v>
      </c>
      <c r="U1" t="s">
        <v>64</v>
      </c>
      <c r="V1" t="s">
        <v>58</v>
      </c>
    </row>
    <row r="2" spans="1:23" x14ac:dyDescent="0.25">
      <c r="V2" t="s">
        <v>60</v>
      </c>
      <c r="W2" t="s">
        <v>59</v>
      </c>
    </row>
    <row r="3" spans="1:23" x14ac:dyDescent="0.25">
      <c r="M3">
        <f>M8+M9+M10+M11+M12+M13</f>
        <v>2</v>
      </c>
      <c r="N3">
        <f>E10</f>
        <v>2100</v>
      </c>
      <c r="O3">
        <f>I5/1000000</f>
        <v>4</v>
      </c>
      <c r="P3">
        <f>SUM(M14:M19)</f>
        <v>0</v>
      </c>
      <c r="Q3">
        <f>I11/1000000</f>
        <v>0</v>
      </c>
      <c r="R3">
        <f>SUM(M20:M25)</f>
        <v>0</v>
      </c>
      <c r="S3">
        <f>I17/1000000</f>
        <v>0</v>
      </c>
      <c r="T3" s="16">
        <f>C48</f>
        <v>5356.8</v>
      </c>
      <c r="U3" s="16">
        <f>S30</f>
        <v>114</v>
      </c>
      <c r="V3" s="15">
        <f>HLOOKUP(U3,Q14:U15,2)</f>
        <v>-0.28723668471685215</v>
      </c>
      <c r="W3" t="str">
        <f>VLOOKUP(2,S17:T21,2,FALSE)</f>
        <v>TB1</v>
      </c>
    </row>
    <row r="4" spans="1:23" ht="13.8" thickBot="1" x14ac:dyDescent="0.3"/>
    <row r="5" spans="1:23" ht="13.8" thickBot="1" x14ac:dyDescent="0.3">
      <c r="A5" s="3" t="s">
        <v>4</v>
      </c>
      <c r="B5" s="4">
        <v>1</v>
      </c>
      <c r="C5" s="4" t="s">
        <v>0</v>
      </c>
      <c r="D5" s="4" t="s">
        <v>37</v>
      </c>
      <c r="E5" s="12">
        <f>'krachten 100%'!E5</f>
        <v>0</v>
      </c>
      <c r="F5" s="4"/>
      <c r="G5" s="4"/>
      <c r="H5" s="4" t="s">
        <v>42</v>
      </c>
      <c r="I5" s="5">
        <f>(E5/2)^2*PI()+E6*G6+E7^2*0.433+G7^2*0.433+E8^2*0.8284+E9^2/2</f>
        <v>4000000</v>
      </c>
    </row>
    <row r="6" spans="1:23" ht="13.8" thickBot="1" x14ac:dyDescent="0.3">
      <c r="A6" s="6"/>
      <c r="B6" s="7">
        <v>2</v>
      </c>
      <c r="C6" s="7" t="s">
        <v>1</v>
      </c>
      <c r="D6" s="7" t="s">
        <v>38</v>
      </c>
      <c r="E6" s="12">
        <f>'krachten 100%'!E6</f>
        <v>2000</v>
      </c>
      <c r="F6" s="7" t="s">
        <v>41</v>
      </c>
      <c r="G6" s="12">
        <f>'krachten 100%'!G6</f>
        <v>2000</v>
      </c>
      <c r="H6" s="7"/>
      <c r="I6" s="8"/>
    </row>
    <row r="7" spans="1:23" ht="13.8" thickBot="1" x14ac:dyDescent="0.3">
      <c r="A7" s="6"/>
      <c r="B7" s="7">
        <v>3</v>
      </c>
      <c r="C7" s="7" t="s">
        <v>2</v>
      </c>
      <c r="D7" s="7" t="s">
        <v>39</v>
      </c>
      <c r="E7" s="12">
        <f>'krachten 100%'!E7</f>
        <v>0</v>
      </c>
      <c r="F7" s="7" t="s">
        <v>76</v>
      </c>
      <c r="G7" s="12">
        <f>'krachten 100%'!G7</f>
        <v>0</v>
      </c>
      <c r="H7" s="7"/>
      <c r="I7" s="8"/>
      <c r="T7" t="s">
        <v>67</v>
      </c>
      <c r="U7" t="s">
        <v>68</v>
      </c>
    </row>
    <row r="8" spans="1:23" ht="13.8" thickBot="1" x14ac:dyDescent="0.3">
      <c r="A8" s="6"/>
      <c r="B8" s="20">
        <v>5</v>
      </c>
      <c r="C8" s="7" t="s">
        <v>3</v>
      </c>
      <c r="D8" s="7" t="s">
        <v>37</v>
      </c>
      <c r="E8" s="12">
        <f>'krachten 100%'!E8</f>
        <v>0</v>
      </c>
      <c r="F8" s="7"/>
      <c r="G8" s="7"/>
      <c r="H8" s="7"/>
      <c r="I8" s="8"/>
      <c r="M8" s="17">
        <f>IF(E5&gt;0,1,0)</f>
        <v>0</v>
      </c>
      <c r="O8" t="s">
        <v>66</v>
      </c>
      <c r="S8">
        <v>1</v>
      </c>
    </row>
    <row r="9" spans="1:23" ht="13.8" thickBot="1" x14ac:dyDescent="0.3">
      <c r="A9" s="6"/>
      <c r="B9" s="20">
        <v>6</v>
      </c>
      <c r="C9" s="20" t="s">
        <v>77</v>
      </c>
      <c r="D9" s="20" t="s">
        <v>78</v>
      </c>
      <c r="E9" s="12">
        <f>'krachten 100%'!E9</f>
        <v>0</v>
      </c>
      <c r="F9" s="7"/>
      <c r="G9" s="7"/>
      <c r="H9" s="7"/>
      <c r="I9" s="8"/>
      <c r="M9" s="18"/>
    </row>
    <row r="10" spans="1:23" ht="13.8" thickBot="1" x14ac:dyDescent="0.3">
      <c r="A10" s="9"/>
      <c r="B10" s="10"/>
      <c r="C10" s="10" t="s">
        <v>6</v>
      </c>
      <c r="D10" s="10"/>
      <c r="E10" s="12">
        <f>'krachten 100%'!E10</f>
        <v>2100</v>
      </c>
      <c r="G10" s="10" t="s">
        <v>43</v>
      </c>
      <c r="H10" s="10"/>
      <c r="I10" s="11">
        <f>E10+E5/2+G6/2+E7/3+G7*2/3+E8/2+E9/2</f>
        <v>3100</v>
      </c>
      <c r="M10" s="18">
        <f>IF(E6&gt;0,2,0)</f>
        <v>2</v>
      </c>
      <c r="S10">
        <v>2</v>
      </c>
      <c r="T10">
        <f>IF(N19&gt;0,30,0)</f>
        <v>0</v>
      </c>
      <c r="U10">
        <f>IF(N19&gt;0,1,0)</f>
        <v>0</v>
      </c>
      <c r="V10">
        <f>IF(N19&gt;0,0,1)</f>
        <v>1</v>
      </c>
    </row>
    <row r="11" spans="1:23" ht="13.8" thickBot="1" x14ac:dyDescent="0.3">
      <c r="A11" s="3" t="s">
        <v>5</v>
      </c>
      <c r="B11" s="4"/>
      <c r="C11" s="4" t="s">
        <v>0</v>
      </c>
      <c r="D11" s="4" t="s">
        <v>37</v>
      </c>
      <c r="E11" s="12">
        <f>'krachten 100%'!E11</f>
        <v>0</v>
      </c>
      <c r="F11" s="4"/>
      <c r="G11" s="4"/>
      <c r="H11" s="4" t="s">
        <v>42</v>
      </c>
      <c r="I11" s="5">
        <f>(E11/2)^2*PI()+E12*G12+E13^2*0.433+G13^2*0.433+E14^2*0.8284+E15^2/2</f>
        <v>0</v>
      </c>
      <c r="M11" s="18">
        <f>IF(E7&gt;0,3,0)</f>
        <v>0</v>
      </c>
      <c r="S11">
        <v>3</v>
      </c>
      <c r="T11">
        <f>IF(N25&gt;0,30,0)</f>
        <v>0</v>
      </c>
      <c r="U11">
        <f>IF(N25&gt;0,1,0)</f>
        <v>0</v>
      </c>
      <c r="V11">
        <f>IF(N25&gt;0,0,1)</f>
        <v>1</v>
      </c>
    </row>
    <row r="12" spans="1:23" ht="13.8" thickBot="1" x14ac:dyDescent="0.3">
      <c r="A12" s="6"/>
      <c r="B12" s="7"/>
      <c r="C12" s="7" t="s">
        <v>1</v>
      </c>
      <c r="D12" s="7" t="s">
        <v>38</v>
      </c>
      <c r="E12" s="12">
        <f>'krachten 100%'!E12</f>
        <v>0</v>
      </c>
      <c r="F12" s="7" t="s">
        <v>41</v>
      </c>
      <c r="G12" s="12">
        <f>'krachten 100%'!G12</f>
        <v>0</v>
      </c>
      <c r="H12" s="7"/>
      <c r="I12" s="8"/>
      <c r="M12" s="18">
        <f>IF(G7&gt;0,4,0)</f>
        <v>0</v>
      </c>
    </row>
    <row r="13" spans="1:23" ht="13.8" thickBot="1" x14ac:dyDescent="0.3">
      <c r="A13" s="6"/>
      <c r="B13" s="7"/>
      <c r="C13" s="7" t="s">
        <v>2</v>
      </c>
      <c r="D13" s="7" t="s">
        <v>39</v>
      </c>
      <c r="E13" s="12">
        <f>'krachten 100%'!E13</f>
        <v>0</v>
      </c>
      <c r="F13" s="7" t="s">
        <v>40</v>
      </c>
      <c r="G13" s="12">
        <f>'krachten 100%'!G13</f>
        <v>0</v>
      </c>
      <c r="H13" s="7"/>
      <c r="I13" s="8"/>
      <c r="M13" s="19">
        <f>IF(E8&gt;0,5,0)</f>
        <v>0</v>
      </c>
    </row>
    <row r="14" spans="1:23" ht="14.4" thickTop="1" thickBot="1" x14ac:dyDescent="0.3">
      <c r="A14" s="6"/>
      <c r="B14" s="7"/>
      <c r="C14" s="7" t="s">
        <v>3</v>
      </c>
      <c r="D14" s="7" t="s">
        <v>37</v>
      </c>
      <c r="E14" s="12">
        <f>'krachten 100%'!E14</f>
        <v>0</v>
      </c>
      <c r="F14" s="7"/>
      <c r="G14" s="7"/>
      <c r="H14" s="7"/>
      <c r="I14" s="8"/>
      <c r="M14" s="17">
        <f>IF(E11&gt;0,1,0)</f>
        <v>0</v>
      </c>
      <c r="Q14" s="13">
        <f>D59</f>
        <v>51</v>
      </c>
      <c r="R14" s="13">
        <f>E59</f>
        <v>76</v>
      </c>
      <c r="S14" s="13">
        <f>F59</f>
        <v>89</v>
      </c>
      <c r="T14" s="13">
        <f>G59</f>
        <v>114</v>
      </c>
      <c r="U14" s="13">
        <f>H59</f>
        <v>133</v>
      </c>
    </row>
    <row r="15" spans="1:23" ht="13.8" thickBot="1" x14ac:dyDescent="0.3">
      <c r="A15" s="6"/>
      <c r="B15" s="7"/>
      <c r="C15" s="20" t="s">
        <v>77</v>
      </c>
      <c r="D15" s="20" t="s">
        <v>78</v>
      </c>
      <c r="E15" s="12">
        <f>'krachten 100%'!E15</f>
        <v>0</v>
      </c>
      <c r="F15" s="7"/>
      <c r="G15" s="7"/>
      <c r="H15" s="7"/>
      <c r="I15" s="8"/>
      <c r="M15" s="18">
        <f>IF(E12&gt;0,2,0)</f>
        <v>0</v>
      </c>
      <c r="Q15">
        <f>D56</f>
        <v>-4.7114034173587802</v>
      </c>
      <c r="R15">
        <f>E56</f>
        <v>-1.2276599147180176</v>
      </c>
      <c r="S15">
        <f>F56</f>
        <v>-0.68816987119274131</v>
      </c>
      <c r="T15">
        <f>G56</f>
        <v>-0.28723668471685215</v>
      </c>
      <c r="U15">
        <f>H56</f>
        <v>-0.1620558416615214</v>
      </c>
    </row>
    <row r="16" spans="1:23" ht="13.8" thickBot="1" x14ac:dyDescent="0.3">
      <c r="A16" s="9"/>
      <c r="B16" s="10"/>
      <c r="C16" s="10" t="s">
        <v>6</v>
      </c>
      <c r="D16" s="10"/>
      <c r="E16" s="12">
        <f>'krachten 100%'!E16</f>
        <v>0</v>
      </c>
      <c r="G16" s="10" t="s">
        <v>43</v>
      </c>
      <c r="H16" s="10"/>
      <c r="I16" s="11">
        <f>E16+E11/2+G12/2+E13/3+G13*2/3+E14/2+((I10-E10)*V10)+E15/2</f>
        <v>1000</v>
      </c>
      <c r="M16" s="18">
        <f>IF(E13&gt;0,3,0)</f>
        <v>0</v>
      </c>
    </row>
    <row r="17" spans="1:20" ht="13.8" thickBot="1" x14ac:dyDescent="0.3">
      <c r="A17" s="3" t="s">
        <v>7</v>
      </c>
      <c r="B17" s="4"/>
      <c r="C17" s="4" t="s">
        <v>0</v>
      </c>
      <c r="D17" s="4" t="s">
        <v>37</v>
      </c>
      <c r="E17" s="12">
        <f>'krachten 100%'!E17</f>
        <v>0</v>
      </c>
      <c r="F17" s="4"/>
      <c r="G17" s="4"/>
      <c r="H17" s="4" t="s">
        <v>42</v>
      </c>
      <c r="I17" s="5">
        <f>(E17/2)^2*PI()+E18*G18+E19^2*0.433+G19^2*0.433+E20^2*0.8284+E21^2/2</f>
        <v>0</v>
      </c>
      <c r="M17" s="18">
        <f>IF(G13&gt;0,4,0)</f>
        <v>0</v>
      </c>
      <c r="Q17">
        <v>1</v>
      </c>
      <c r="R17">
        <f>IF(Q18=0,1,0)</f>
        <v>1</v>
      </c>
      <c r="S17">
        <f>R17+Q17</f>
        <v>2</v>
      </c>
      <c r="T17" t="s">
        <v>52</v>
      </c>
    </row>
    <row r="18" spans="1:20" ht="13.8" thickBot="1" x14ac:dyDescent="0.3">
      <c r="A18" s="6"/>
      <c r="B18" s="7"/>
      <c r="C18" s="7" t="s">
        <v>1</v>
      </c>
      <c r="D18" s="7" t="s">
        <v>38</v>
      </c>
      <c r="E18" s="12">
        <f>'krachten 100%'!E18</f>
        <v>0</v>
      </c>
      <c r="F18" s="7" t="s">
        <v>41</v>
      </c>
      <c r="G18" s="12">
        <f>'krachten 100%'!G18</f>
        <v>0</v>
      </c>
      <c r="H18" s="7"/>
      <c r="I18" s="8"/>
      <c r="J18" s="11"/>
      <c r="M18" s="19">
        <f>IF(E14&gt;0,5,0)</f>
        <v>0</v>
      </c>
      <c r="Q18">
        <f>IF($V$3&gt;2,1,0)</f>
        <v>0</v>
      </c>
      <c r="R18">
        <f>IF(Q19=0,1,0)</f>
        <v>1</v>
      </c>
      <c r="S18">
        <f>R18+Q18</f>
        <v>1</v>
      </c>
      <c r="T18" t="s">
        <v>48</v>
      </c>
    </row>
    <row r="19" spans="1:20" ht="13.8" thickBot="1" x14ac:dyDescent="0.3">
      <c r="A19" s="6"/>
      <c r="B19" s="7"/>
      <c r="C19" s="7" t="s">
        <v>2</v>
      </c>
      <c r="D19" s="7" t="s">
        <v>39</v>
      </c>
      <c r="E19" s="12">
        <f>'krachten 100%'!E19</f>
        <v>0</v>
      </c>
      <c r="F19" s="7" t="s">
        <v>40</v>
      </c>
      <c r="G19" s="12">
        <f>'krachten 100%'!G19</f>
        <v>0</v>
      </c>
      <c r="H19" s="7"/>
      <c r="I19" s="8"/>
      <c r="M19" s="17">
        <f>IF(E15&gt;0,6,0)</f>
        <v>0</v>
      </c>
      <c r="N19">
        <f>SUM(M14:M19)</f>
        <v>0</v>
      </c>
      <c r="Q19">
        <f>IF($V$3&gt;5,1,0)</f>
        <v>0</v>
      </c>
      <c r="R19">
        <f>IF(Q20=0,1,0)</f>
        <v>1</v>
      </c>
      <c r="S19">
        <f>R19+Q19</f>
        <v>1</v>
      </c>
      <c r="T19" t="s">
        <v>49</v>
      </c>
    </row>
    <row r="20" spans="1:20" ht="13.8" thickBot="1" x14ac:dyDescent="0.3">
      <c r="A20" s="6"/>
      <c r="B20" s="7"/>
      <c r="C20" s="7" t="s">
        <v>3</v>
      </c>
      <c r="D20" s="7" t="s">
        <v>37</v>
      </c>
      <c r="E20" s="12">
        <f>'krachten 100%'!E20</f>
        <v>0</v>
      </c>
      <c r="F20" s="7"/>
      <c r="G20" s="7"/>
      <c r="H20" s="7"/>
      <c r="I20" s="8"/>
      <c r="M20" s="17">
        <f>IF(E17&gt;0,1,0)</f>
        <v>0</v>
      </c>
      <c r="Q20">
        <f>IF($V$3&gt;10,1,0)</f>
        <v>0</v>
      </c>
      <c r="R20">
        <f>IF(Q21=0,1,0)</f>
        <v>1</v>
      </c>
      <c r="S20">
        <f>R20+Q20</f>
        <v>1</v>
      </c>
      <c r="T20" t="s">
        <v>50</v>
      </c>
    </row>
    <row r="21" spans="1:20" ht="13.8" thickBot="1" x14ac:dyDescent="0.3">
      <c r="A21" s="6"/>
      <c r="B21" s="7"/>
      <c r="C21" s="20" t="s">
        <v>77</v>
      </c>
      <c r="D21" s="20" t="s">
        <v>78</v>
      </c>
      <c r="E21" s="12">
        <f>'krachten 100%'!E21</f>
        <v>0</v>
      </c>
      <c r="F21" s="7"/>
      <c r="G21" s="7"/>
      <c r="H21" s="7"/>
      <c r="I21" s="8"/>
      <c r="M21" s="18">
        <f>IF(E18&gt;0,2,0)</f>
        <v>0</v>
      </c>
      <c r="Q21">
        <f>IF($V$3&gt;25,1,0)</f>
        <v>0</v>
      </c>
      <c r="R21">
        <f>IF(Q22=0,1,0)</f>
        <v>1</v>
      </c>
      <c r="S21">
        <f>R21+Q21</f>
        <v>1</v>
      </c>
      <c r="T21" t="s">
        <v>51</v>
      </c>
    </row>
    <row r="22" spans="1:20" ht="13.8" thickBot="1" x14ac:dyDescent="0.3">
      <c r="A22" s="9"/>
      <c r="B22" s="10"/>
      <c r="C22" s="10" t="s">
        <v>6</v>
      </c>
      <c r="D22" s="10"/>
      <c r="E22" s="12">
        <f>'krachten 100%'!E22</f>
        <v>0</v>
      </c>
      <c r="G22" s="10" t="s">
        <v>43</v>
      </c>
      <c r="H22" s="10"/>
      <c r="I22" s="11">
        <f>E22+E17/2+G18/2+E19/3+G19*2/3+E20/2+((I16-E16)*V11)+E21/2</f>
        <v>1000</v>
      </c>
      <c r="M22" s="18">
        <f>IF(E19&gt;0,3,0)</f>
        <v>0</v>
      </c>
    </row>
    <row r="23" spans="1:20" x14ac:dyDescent="0.25">
      <c r="M23" s="18">
        <f>IF(G19&gt;0,4,0)</f>
        <v>0</v>
      </c>
    </row>
    <row r="24" spans="1:20" ht="16.2" thickBot="1" x14ac:dyDescent="0.4">
      <c r="A24" t="s">
        <v>29</v>
      </c>
      <c r="C24" t="s">
        <v>30</v>
      </c>
      <c r="D24">
        <v>235</v>
      </c>
      <c r="E24" t="s">
        <v>31</v>
      </c>
      <c r="M24" s="19">
        <f>IF(E20&gt;0,5,0)</f>
        <v>0</v>
      </c>
    </row>
    <row r="25" spans="1:20" x14ac:dyDescent="0.25">
      <c r="A25" t="s">
        <v>18</v>
      </c>
      <c r="C25" s="2" t="s">
        <v>19</v>
      </c>
      <c r="D25" s="2">
        <v>51</v>
      </c>
      <c r="E25" s="2">
        <v>76</v>
      </c>
      <c r="F25" s="2">
        <v>89</v>
      </c>
      <c r="G25" s="2">
        <v>114</v>
      </c>
      <c r="H25" s="2">
        <v>133</v>
      </c>
      <c r="M25" s="17">
        <f>IF(E21&gt;0,1,0)</f>
        <v>0</v>
      </c>
      <c r="N25">
        <f>SUM(M20:M25)</f>
        <v>0</v>
      </c>
    </row>
    <row r="26" spans="1:20" x14ac:dyDescent="0.25">
      <c r="A26" t="s">
        <v>20</v>
      </c>
      <c r="C26" s="2" t="s">
        <v>21</v>
      </c>
      <c r="D26" s="2">
        <v>2.6</v>
      </c>
      <c r="E26" s="2">
        <v>2.9</v>
      </c>
      <c r="F26" s="2">
        <v>3.2</v>
      </c>
      <c r="G26" s="2">
        <v>3.6</v>
      </c>
      <c r="H26" s="2">
        <v>4</v>
      </c>
    </row>
    <row r="27" spans="1:20" x14ac:dyDescent="0.25">
      <c r="A27" t="s">
        <v>22</v>
      </c>
      <c r="C27" s="2" t="s">
        <v>23</v>
      </c>
      <c r="D27" s="2">
        <f>D25-2*D26</f>
        <v>45.8</v>
      </c>
      <c r="E27" s="2">
        <f>E25-2*E26</f>
        <v>70.2</v>
      </c>
      <c r="F27" s="2">
        <f>F25-2*F26</f>
        <v>82.6</v>
      </c>
      <c r="G27" s="2">
        <f>G25-2*G26</f>
        <v>106.8</v>
      </c>
      <c r="H27" s="2">
        <f>H25-2*H26</f>
        <v>125</v>
      </c>
    </row>
    <row r="28" spans="1:20" x14ac:dyDescent="0.25">
      <c r="A28" t="s">
        <v>24</v>
      </c>
      <c r="C28" t="s">
        <v>25</v>
      </c>
      <c r="D28">
        <f>3.14*(D$25^4-D$27^4)/64</f>
        <v>116038.08330400004</v>
      </c>
      <c r="E28">
        <f>3.14*(E$25^4-E$27^4)/64</f>
        <v>445320.57752150006</v>
      </c>
      <c r="F28">
        <f>3.14*(F$25^4-F$27^4)/64</f>
        <v>794429.17382400041</v>
      </c>
      <c r="G28">
        <f>3.14*(G$25^4-G$27^4)/64</f>
        <v>1903316.154624</v>
      </c>
      <c r="H28">
        <f>3.14*(H$25^4-H$27^4)/64</f>
        <v>3373542.21</v>
      </c>
      <c r="M28" t="b">
        <f>IF(D60="ja",51)</f>
        <v>0</v>
      </c>
      <c r="O28" t="b">
        <f>IF(E60="ja",76)</f>
        <v>0</v>
      </c>
      <c r="P28" t="b">
        <f>IF(F60="ja",89)</f>
        <v>0</v>
      </c>
      <c r="Q28">
        <f>IF(G60="ja",114)</f>
        <v>114</v>
      </c>
      <c r="R28">
        <f>IF(H60="ja",133)</f>
        <v>133</v>
      </c>
    </row>
    <row r="29" spans="1:20" x14ac:dyDescent="0.25">
      <c r="A29" t="s">
        <v>26</v>
      </c>
      <c r="C29" t="s">
        <v>27</v>
      </c>
      <c r="D29">
        <f>2*D$28/D$25</f>
        <v>4550.5130707450999</v>
      </c>
      <c r="E29">
        <f>2*E$28/E$25</f>
        <v>11718.962566355265</v>
      </c>
      <c r="F29">
        <f>2*F$28/F$25</f>
        <v>17852.340984808998</v>
      </c>
      <c r="G29">
        <f>2*G$28/G$25</f>
        <v>33391.511484631577</v>
      </c>
      <c r="H29">
        <f>2*H$28/H$25</f>
        <v>50729.958045112784</v>
      </c>
      <c r="M29">
        <v>51</v>
      </c>
      <c r="O29">
        <f>IF(D60="ja",0,76)</f>
        <v>76</v>
      </c>
      <c r="P29">
        <f>IF(E60="ja",0,89)</f>
        <v>89</v>
      </c>
      <c r="Q29">
        <f>IF(F60="ja",0,114)</f>
        <v>114</v>
      </c>
      <c r="R29">
        <f>IF(G60="ja",0,133)</f>
        <v>0</v>
      </c>
    </row>
    <row r="30" spans="1:20" ht="15.6" x14ac:dyDescent="0.35">
      <c r="A30" t="s">
        <v>44</v>
      </c>
      <c r="C30" t="s">
        <v>28</v>
      </c>
      <c r="D30">
        <f>D$29*$D24</f>
        <v>1069370.5716250984</v>
      </c>
      <c r="E30">
        <f>E$29*$D24</f>
        <v>2753956.2030934873</v>
      </c>
      <c r="F30">
        <f>F$29*$D24</f>
        <v>4195300.1314301146</v>
      </c>
      <c r="G30">
        <f>G$29*$D24</f>
        <v>7847005.1988884211</v>
      </c>
      <c r="H30">
        <f>H$29*$D24</f>
        <v>11921540.140601505</v>
      </c>
      <c r="M30">
        <f>M28*M29/51</f>
        <v>0</v>
      </c>
      <c r="O30">
        <f>O28*O29/76</f>
        <v>0</v>
      </c>
      <c r="P30">
        <f>P28*P29/89</f>
        <v>0</v>
      </c>
      <c r="Q30">
        <f>Q28*Q29/114</f>
        <v>114</v>
      </c>
      <c r="R30">
        <f>R28*R29/133</f>
        <v>0</v>
      </c>
      <c r="S30">
        <f>SUM(M30:R30)</f>
        <v>114</v>
      </c>
    </row>
    <row r="31" spans="1:20" x14ac:dyDescent="0.25">
      <c r="D31">
        <f>D30/$C37</f>
        <v>1018448.1634524746</v>
      </c>
      <c r="E31">
        <f>E30/$C37</f>
        <v>2622815.4315176071</v>
      </c>
      <c r="F31">
        <f>F30/$C37</f>
        <v>3995523.9346953472</v>
      </c>
      <c r="G31">
        <f>G30/$C37</f>
        <v>7473338.284655639</v>
      </c>
      <c r="H31">
        <f>H30/$C37</f>
        <v>11353847.752953814</v>
      </c>
    </row>
    <row r="32" spans="1:20" ht="15.6" x14ac:dyDescent="0.35">
      <c r="A32" t="s">
        <v>44</v>
      </c>
      <c r="C32" t="s">
        <v>28</v>
      </c>
      <c r="D32">
        <f>D31/1000</f>
        <v>1018.4481634524747</v>
      </c>
      <c r="E32">
        <f>E31/1000</f>
        <v>2622.8154315176071</v>
      </c>
      <c r="F32">
        <f>F31/1000</f>
        <v>3995.5239346953472</v>
      </c>
      <c r="G32">
        <f>G31/1000</f>
        <v>7473.3382846556387</v>
      </c>
      <c r="H32">
        <f>H31/1000</f>
        <v>11353.847752953814</v>
      </c>
    </row>
    <row r="33" spans="1:13" x14ac:dyDescent="0.25">
      <c r="A33" t="s">
        <v>32</v>
      </c>
      <c r="C33">
        <v>800</v>
      </c>
      <c r="D33" t="s">
        <v>144</v>
      </c>
    </row>
    <row r="34" spans="1:13" x14ac:dyDescent="0.25">
      <c r="A34" t="s">
        <v>17</v>
      </c>
      <c r="C34">
        <v>1.2</v>
      </c>
      <c r="M34">
        <f>E50</f>
        <v>76.114914712516963</v>
      </c>
    </row>
    <row r="35" spans="1:13" x14ac:dyDescent="0.25">
      <c r="A35" t="s">
        <v>16</v>
      </c>
      <c r="C35">
        <v>1.35</v>
      </c>
    </row>
    <row r="36" spans="1:13" x14ac:dyDescent="0.25">
      <c r="A36" t="s">
        <v>47</v>
      </c>
      <c r="B36" s="1"/>
      <c r="C36">
        <v>0.56000000000000005</v>
      </c>
    </row>
    <row r="37" spans="1:13" x14ac:dyDescent="0.25">
      <c r="A37" t="s">
        <v>33</v>
      </c>
      <c r="C37">
        <v>1.05</v>
      </c>
    </row>
    <row r="38" spans="1:13" x14ac:dyDescent="0.25">
      <c r="C38" t="s">
        <v>54</v>
      </c>
      <c r="D38" t="s">
        <v>55</v>
      </c>
    </row>
    <row r="39" spans="1:13" x14ac:dyDescent="0.25">
      <c r="A39" t="s">
        <v>34</v>
      </c>
      <c r="C39">
        <f>(C33*C34*C35)/3</f>
        <v>432</v>
      </c>
      <c r="D39">
        <f>(C33*C34*C36)/3</f>
        <v>179.20000000000002</v>
      </c>
    </row>
    <row r="40" spans="1:13" x14ac:dyDescent="0.25">
      <c r="A40" t="s">
        <v>35</v>
      </c>
      <c r="C40">
        <f>C39/1000000</f>
        <v>4.3199999999999998E-4</v>
      </c>
      <c r="D40">
        <f>D39/1000000</f>
        <v>1.7920000000000002E-4</v>
      </c>
    </row>
    <row r="41" spans="1:13" x14ac:dyDescent="0.25">
      <c r="A41" t="s">
        <v>8</v>
      </c>
      <c r="B41" t="s">
        <v>9</v>
      </c>
      <c r="C41">
        <f>C40*$I5</f>
        <v>1728</v>
      </c>
      <c r="D41">
        <f>D40*$I5</f>
        <v>716.80000000000007</v>
      </c>
    </row>
    <row r="42" spans="1:13" x14ac:dyDescent="0.25">
      <c r="B42" t="s">
        <v>10</v>
      </c>
      <c r="C42">
        <f>C40*$I11</f>
        <v>0</v>
      </c>
      <c r="D42">
        <f>D40*$I11</f>
        <v>0</v>
      </c>
    </row>
    <row r="43" spans="1:13" x14ac:dyDescent="0.25">
      <c r="B43" t="s">
        <v>11</v>
      </c>
      <c r="C43">
        <f>C40*$I17</f>
        <v>0</v>
      </c>
      <c r="D43">
        <f>D40*$I17</f>
        <v>0</v>
      </c>
    </row>
    <row r="44" spans="1:13" x14ac:dyDescent="0.25">
      <c r="A44" t="s">
        <v>12</v>
      </c>
      <c r="B44" s="1" t="s">
        <v>13</v>
      </c>
      <c r="C44">
        <f>C41*$I10</f>
        <v>5356800</v>
      </c>
      <c r="D44">
        <f>D41*$I10</f>
        <v>2222080</v>
      </c>
    </row>
    <row r="45" spans="1:13" x14ac:dyDescent="0.25">
      <c r="B45" s="1" t="s">
        <v>14</v>
      </c>
      <c r="C45">
        <f>C42*$I16</f>
        <v>0</v>
      </c>
      <c r="D45">
        <f>D42*$I16</f>
        <v>0</v>
      </c>
    </row>
    <row r="46" spans="1:13" x14ac:dyDescent="0.25">
      <c r="B46" s="1" t="s">
        <v>15</v>
      </c>
      <c r="C46">
        <f>C43*$I22</f>
        <v>0</v>
      </c>
      <c r="D46">
        <f>D43*$I22</f>
        <v>0</v>
      </c>
    </row>
    <row r="47" spans="1:13" ht="15.6" x14ac:dyDescent="0.35">
      <c r="B47" s="1" t="s">
        <v>36</v>
      </c>
      <c r="C47">
        <f>C44+C45+C46</f>
        <v>5356800</v>
      </c>
      <c r="D47">
        <f>D44+D45+D46</f>
        <v>2222080</v>
      </c>
    </row>
    <row r="48" spans="1:13" ht="15.6" x14ac:dyDescent="0.35">
      <c r="B48" s="1" t="s">
        <v>36</v>
      </c>
      <c r="C48">
        <f>C47/1000</f>
        <v>5356.8</v>
      </c>
      <c r="D48">
        <f>D47/1000</f>
        <v>2222.08</v>
      </c>
    </row>
    <row r="49" spans="1:8" x14ac:dyDescent="0.25">
      <c r="B49" s="1" t="s">
        <v>46</v>
      </c>
      <c r="C49">
        <v>210000</v>
      </c>
    </row>
    <row r="50" spans="1:8" x14ac:dyDescent="0.25">
      <c r="B50" s="1" t="s">
        <v>69</v>
      </c>
      <c r="D50">
        <f>$D44*$I$10^2/(3*$C$49*D28)</f>
        <v>292.1070118762409</v>
      </c>
      <c r="E50">
        <f>$D44*$I$10^2/(3*$C$49*E28)</f>
        <v>76.114914712516963</v>
      </c>
      <c r="F50">
        <f>$D44*$I$10^2/(3*$C$49*F28)</f>
        <v>42.666532013950274</v>
      </c>
      <c r="G50">
        <f>$D44*$I$10^2/(3*$C$49*G28)</f>
        <v>17.808674452444734</v>
      </c>
      <c r="H50">
        <f>$D44*$I$10^2/(3*$C$49*H28)</f>
        <v>10.047462183014387</v>
      </c>
    </row>
    <row r="51" spans="1:8" x14ac:dyDescent="0.25">
      <c r="B51" s="1" t="s">
        <v>70</v>
      </c>
      <c r="D51">
        <f>$D44*$I10*($I22-$I10)/(2*$C$49*D28)</f>
        <v>-296.81841529359968</v>
      </c>
      <c r="E51">
        <f>$D44*$I10*($I22-$I10)/(2*$C$49*E28)</f>
        <v>-77.342574627234981</v>
      </c>
      <c r="F51">
        <f>$D44*$I10*($I22-$I10)/(2*$C$49*F28)</f>
        <v>-43.354701885143015</v>
      </c>
      <c r="G51">
        <f>$D44*$I10*($I22-$I10)/(2*$C$49*G28)</f>
        <v>-18.095911137161586</v>
      </c>
      <c r="H51">
        <f>$D44*$I10*($I22-$I10)/(2*$C$49*H28)</f>
        <v>-10.209518024675909</v>
      </c>
    </row>
    <row r="52" spans="1:8" x14ac:dyDescent="0.25">
      <c r="B52" s="1" t="s">
        <v>71</v>
      </c>
      <c r="D52">
        <f>$D45*$I$16^2/(3*$C$49*D28)</f>
        <v>0</v>
      </c>
      <c r="E52">
        <f>$D45*$I$16^2/(3*$C$49*E28)</f>
        <v>0</v>
      </c>
      <c r="F52">
        <f>$D45*$I$16^2/(3*$C$49*F28)</f>
        <v>0</v>
      </c>
      <c r="G52">
        <f>$D45*$I$16^2/(3*$C$49*G28)</f>
        <v>0</v>
      </c>
      <c r="H52">
        <f>$D45*$I$16^2/(3*$C$49*H28)</f>
        <v>0</v>
      </c>
    </row>
    <row r="53" spans="1:8" x14ac:dyDescent="0.25">
      <c r="B53" s="1" t="s">
        <v>72</v>
      </c>
      <c r="D53">
        <f>$D45*$I16*($I22-$I16)/(2*$C$49*D$28)</f>
        <v>0</v>
      </c>
      <c r="E53">
        <f>$D45*$I16*($I22-$I16)/(2*$C$49*E$28)</f>
        <v>0</v>
      </c>
      <c r="F53">
        <f>$D45*$I16*($I22-$I16)/(2*$C$49*F$28)</f>
        <v>0</v>
      </c>
      <c r="G53">
        <f>$D45*$I16*($I22-$I16)/(2*$C$49*G$28)</f>
        <v>0</v>
      </c>
      <c r="H53">
        <f>$D45*$I16*($I22-$I16)/(2*$C$49*H$28)</f>
        <v>0</v>
      </c>
    </row>
    <row r="54" spans="1:8" x14ac:dyDescent="0.25">
      <c r="B54" s="1" t="s">
        <v>73</v>
      </c>
      <c r="D54">
        <f>$D46*$I$22^2/(3*$C$49*D28)</f>
        <v>0</v>
      </c>
      <c r="E54">
        <f>$D46*$I$22^2/(3*$C$49*E28)</f>
        <v>0</v>
      </c>
      <c r="F54">
        <f>$D46*$I$22^2/(3*$C$49*F28)</f>
        <v>0</v>
      </c>
      <c r="G54">
        <f>$D46*$I$22^2/(3*$C$49*G28)</f>
        <v>0</v>
      </c>
      <c r="H54">
        <f>$D46*$I$22^2/(3*$C$49*H28)</f>
        <v>0</v>
      </c>
    </row>
    <row r="55" spans="1:8" x14ac:dyDescent="0.25">
      <c r="B55" s="1" t="s">
        <v>74</v>
      </c>
      <c r="D55">
        <f>SUM(D50:D54)</f>
        <v>-4.7114034173587811</v>
      </c>
      <c r="E55">
        <f>SUM(E50:E54)</f>
        <v>-1.2276599147180178</v>
      </c>
      <c r="F55">
        <f>SUM(F50:F54)</f>
        <v>-0.68816987119274131</v>
      </c>
      <c r="G55">
        <f>SUM(G50:G54)</f>
        <v>-0.28723668471685215</v>
      </c>
      <c r="H55">
        <f>SUM(H50:H54)</f>
        <v>-0.16205584166152143</v>
      </c>
    </row>
    <row r="56" spans="1:8" x14ac:dyDescent="0.25">
      <c r="B56" s="1" t="s">
        <v>75</v>
      </c>
      <c r="D56">
        <f>1000*D55/$I22</f>
        <v>-4.7114034173587802</v>
      </c>
      <c r="E56">
        <f>1000*E55/$I22</f>
        <v>-1.2276599147180176</v>
      </c>
      <c r="F56">
        <f>1000*F55/$I22</f>
        <v>-0.68816987119274131</v>
      </c>
      <c r="G56">
        <f>1000*G55/$I22</f>
        <v>-0.28723668471685215</v>
      </c>
      <c r="H56">
        <f>1000*H55/$I22</f>
        <v>-0.1620558416615214</v>
      </c>
    </row>
    <row r="57" spans="1:8" x14ac:dyDescent="0.25">
      <c r="B57" s="1" t="s">
        <v>45</v>
      </c>
      <c r="D57">
        <f>1000*($D44*$I10+$D45*$I16+$D46*$I22)/(3*$C49*D28)</f>
        <v>94.228068347174485</v>
      </c>
      <c r="E57">
        <f>1000*($D44*$I10+$D45*$I16+$D46*$I22)/(3*$C49*E28)</f>
        <v>24.55319829436031</v>
      </c>
      <c r="F57">
        <f>1000*($D44*$I10+$D45*$I16+$D46*$I22)/(3*$C49*F28)</f>
        <v>13.763397423854926</v>
      </c>
      <c r="G57">
        <f>1000*($D44*$I10+$D45*$I16+$D46*$I22)/(3*$C49*G28)</f>
        <v>5.7447336943370111</v>
      </c>
      <c r="H57">
        <f>1000*($D44*$I10+$D45*$I16+$D46*$I22)/(3*$C49*H28)</f>
        <v>3.2411168332304472</v>
      </c>
    </row>
    <row r="58" spans="1:8" ht="13.8" thickBot="1" x14ac:dyDescent="0.3">
      <c r="B58" s="1"/>
    </row>
    <row r="59" spans="1:8" ht="14.4" thickTop="1" thickBot="1" x14ac:dyDescent="0.3">
      <c r="A59" t="s">
        <v>18</v>
      </c>
      <c r="C59" s="2" t="s">
        <v>19</v>
      </c>
      <c r="D59" s="13">
        <v>51</v>
      </c>
      <c r="E59" s="13">
        <v>76</v>
      </c>
      <c r="F59" s="13">
        <v>89</v>
      </c>
      <c r="G59" s="13">
        <v>114</v>
      </c>
      <c r="H59" s="13">
        <v>133</v>
      </c>
    </row>
    <row r="60" spans="1:8" ht="14.4" thickTop="1" thickBot="1" x14ac:dyDescent="0.3">
      <c r="B60" t="s">
        <v>53</v>
      </c>
      <c r="D60" s="14" t="str">
        <f>IF($C47&lt;D31,"ja","neen")</f>
        <v>neen</v>
      </c>
      <c r="E60" s="14" t="str">
        <f>IF($C47&lt;E31,"ja","neen")</f>
        <v>neen</v>
      </c>
      <c r="F60" s="14" t="str">
        <f>IF($C47&lt;F31,"ja","neen")</f>
        <v>neen</v>
      </c>
      <c r="G60" s="14" t="str">
        <f>IF($C47&lt;G31,"ja","neen")</f>
        <v>ja</v>
      </c>
      <c r="H60" s="14" t="str">
        <f>IF($C47&lt;H31,"ja","neen")</f>
        <v>ja</v>
      </c>
    </row>
    <row r="61" spans="1:8" ht="14.4" thickTop="1" thickBot="1" x14ac:dyDescent="0.3">
      <c r="B61" t="s">
        <v>52</v>
      </c>
      <c r="C61">
        <v>2</v>
      </c>
      <c r="D61" s="14" t="str">
        <f>IF(D$56&lt;$C61,"ja","neen")</f>
        <v>ja</v>
      </c>
      <c r="E61" s="14" t="str">
        <f t="shared" ref="E61:H65" si="0">IF(E$56&lt;$C61,"ja","neen")</f>
        <v>ja</v>
      </c>
      <c r="F61" s="14" t="str">
        <f t="shared" si="0"/>
        <v>ja</v>
      </c>
      <c r="G61" s="14" t="str">
        <f t="shared" si="0"/>
        <v>ja</v>
      </c>
      <c r="H61" s="14" t="str">
        <f t="shared" si="0"/>
        <v>ja</v>
      </c>
    </row>
    <row r="62" spans="1:8" ht="14.4" thickTop="1" thickBot="1" x14ac:dyDescent="0.3">
      <c r="B62" t="s">
        <v>48</v>
      </c>
      <c r="C62">
        <v>5</v>
      </c>
      <c r="D62" s="14" t="str">
        <f>IF(D$56&lt;$C62,"ja","neen")</f>
        <v>ja</v>
      </c>
      <c r="E62" s="14" t="str">
        <f t="shared" si="0"/>
        <v>ja</v>
      </c>
      <c r="F62" s="14" t="str">
        <f t="shared" si="0"/>
        <v>ja</v>
      </c>
      <c r="G62" s="14" t="str">
        <f t="shared" si="0"/>
        <v>ja</v>
      </c>
      <c r="H62" s="14" t="str">
        <f t="shared" si="0"/>
        <v>ja</v>
      </c>
    </row>
    <row r="63" spans="1:8" ht="14.4" thickTop="1" thickBot="1" x14ac:dyDescent="0.3">
      <c r="B63" t="s">
        <v>49</v>
      </c>
      <c r="C63">
        <v>10</v>
      </c>
      <c r="D63" s="14" t="str">
        <f>IF(D$56&lt;$C63,"ja","neen")</f>
        <v>ja</v>
      </c>
      <c r="E63" s="14" t="str">
        <f t="shared" si="0"/>
        <v>ja</v>
      </c>
      <c r="F63" s="14" t="str">
        <f t="shared" si="0"/>
        <v>ja</v>
      </c>
      <c r="G63" s="14" t="str">
        <f t="shared" si="0"/>
        <v>ja</v>
      </c>
      <c r="H63" s="14" t="str">
        <f t="shared" si="0"/>
        <v>ja</v>
      </c>
    </row>
    <row r="64" spans="1:8" ht="14.4" thickTop="1" thickBot="1" x14ac:dyDescent="0.3">
      <c r="B64" t="s">
        <v>50</v>
      </c>
      <c r="C64">
        <v>25</v>
      </c>
      <c r="D64" s="14" t="str">
        <f>IF(D$56&lt;$C64,"ja","neen")</f>
        <v>ja</v>
      </c>
      <c r="E64" s="14" t="str">
        <f t="shared" si="0"/>
        <v>ja</v>
      </c>
      <c r="F64" s="14" t="str">
        <f t="shared" si="0"/>
        <v>ja</v>
      </c>
      <c r="G64" s="14" t="str">
        <f t="shared" si="0"/>
        <v>ja</v>
      </c>
      <c r="H64" s="14" t="str">
        <f t="shared" si="0"/>
        <v>ja</v>
      </c>
    </row>
    <row r="65" spans="1:16" ht="14.4" thickTop="1" thickBot="1" x14ac:dyDescent="0.3">
      <c r="B65" t="s">
        <v>51</v>
      </c>
      <c r="C65">
        <v>50</v>
      </c>
      <c r="D65" s="14" t="str">
        <f>IF(D$56&lt;$C65,"ja","neen")</f>
        <v>ja</v>
      </c>
      <c r="E65" s="14" t="str">
        <f t="shared" si="0"/>
        <v>ja</v>
      </c>
      <c r="F65" s="14" t="str">
        <f t="shared" si="0"/>
        <v>ja</v>
      </c>
      <c r="G65" s="14" t="str">
        <f t="shared" si="0"/>
        <v>ja</v>
      </c>
      <c r="H65" s="14" t="str">
        <f t="shared" si="0"/>
        <v>ja</v>
      </c>
    </row>
    <row r="66" spans="1:16" ht="13.8" thickTop="1" x14ac:dyDescent="0.25"/>
    <row r="67" spans="1:16" x14ac:dyDescent="0.25">
      <c r="A67" t="s">
        <v>61</v>
      </c>
      <c r="B67" t="s">
        <v>79</v>
      </c>
      <c r="C67" t="s">
        <v>65</v>
      </c>
      <c r="D67" t="s">
        <v>56</v>
      </c>
      <c r="E67" t="s">
        <v>62</v>
      </c>
      <c r="F67" t="s">
        <v>80</v>
      </c>
      <c r="G67" t="s">
        <v>56</v>
      </c>
      <c r="H67" t="s">
        <v>63</v>
      </c>
      <c r="I67" t="s">
        <v>81</v>
      </c>
      <c r="J67" t="s">
        <v>56</v>
      </c>
      <c r="K67" t="s">
        <v>57</v>
      </c>
      <c r="L67" t="s">
        <v>64</v>
      </c>
      <c r="M67" t="s">
        <v>58</v>
      </c>
    </row>
    <row r="68" spans="1:16" x14ac:dyDescent="0.25">
      <c r="M68" t="s">
        <v>60</v>
      </c>
      <c r="N68" t="s">
        <v>59</v>
      </c>
      <c r="P68" t="s">
        <v>82</v>
      </c>
    </row>
    <row r="69" spans="1:16" x14ac:dyDescent="0.25">
      <c r="A69">
        <f>M3</f>
        <v>2</v>
      </c>
      <c r="B69">
        <f>E5+E6+E7+G7+E8+E9</f>
        <v>2000</v>
      </c>
      <c r="C69">
        <f>N3</f>
        <v>2100</v>
      </c>
      <c r="D69">
        <f>O3</f>
        <v>4</v>
      </c>
      <c r="E69">
        <f>P3</f>
        <v>0</v>
      </c>
      <c r="F69">
        <f>E11+E12+E13+G13+E14+E15</f>
        <v>0</v>
      </c>
      <c r="G69">
        <f>Q3</f>
        <v>0</v>
      </c>
      <c r="H69">
        <f>R3</f>
        <v>0</v>
      </c>
      <c r="I69">
        <f>E17+E18+E19+G19+E20+E21</f>
        <v>0</v>
      </c>
      <c r="J69">
        <f>S3</f>
        <v>0</v>
      </c>
      <c r="K69">
        <f>T3</f>
        <v>5356.8</v>
      </c>
      <c r="L69">
        <f>U3</f>
        <v>114</v>
      </c>
      <c r="M69">
        <f>V3</f>
        <v>-0.28723668471685215</v>
      </c>
      <c r="N69" t="str">
        <f>W3</f>
        <v>TB1</v>
      </c>
      <c r="P69">
        <v>3</v>
      </c>
    </row>
    <row r="72" spans="1:16" x14ac:dyDescent="0.25">
      <c r="A72">
        <v>3</v>
      </c>
      <c r="B72">
        <v>900</v>
      </c>
      <c r="C72">
        <v>2100</v>
      </c>
      <c r="D72">
        <v>0.35072999999999999</v>
      </c>
      <c r="E72">
        <v>3</v>
      </c>
      <c r="F72">
        <v>900</v>
      </c>
      <c r="G72">
        <v>0.35072999999999999</v>
      </c>
      <c r="H72">
        <v>1</v>
      </c>
      <c r="I72">
        <v>400</v>
      </c>
      <c r="J72">
        <v>0.08</v>
      </c>
      <c r="K72">
        <v>3695.03995644</v>
      </c>
      <c r="L72">
        <v>89</v>
      </c>
      <c r="M72">
        <v>10.177322147463181</v>
      </c>
      <c r="N72" t="s">
        <v>50</v>
      </c>
    </row>
    <row r="73" spans="1:16" x14ac:dyDescent="0.25">
      <c r="A73">
        <v>1</v>
      </c>
      <c r="B73">
        <v>900</v>
      </c>
      <c r="C73">
        <v>1500</v>
      </c>
      <c r="D73">
        <v>0.63617251235193306</v>
      </c>
      <c r="E73">
        <v>2</v>
      </c>
      <c r="F73">
        <v>1100</v>
      </c>
      <c r="G73">
        <v>0.33</v>
      </c>
      <c r="H73">
        <v>3</v>
      </c>
      <c r="I73">
        <v>1100</v>
      </c>
      <c r="J73">
        <v>0.52393000000000001</v>
      </c>
      <c r="K73">
        <v>6042.7472025197558</v>
      </c>
      <c r="L73">
        <v>114</v>
      </c>
      <c r="M73">
        <v>5.8199232489767292</v>
      </c>
      <c r="N73" t="s">
        <v>49</v>
      </c>
    </row>
    <row r="74" spans="1:16" x14ac:dyDescent="0.25">
      <c r="A74">
        <v>2</v>
      </c>
      <c r="B74">
        <v>1100</v>
      </c>
      <c r="C74">
        <v>1500</v>
      </c>
      <c r="D74">
        <v>0.33</v>
      </c>
      <c r="E74">
        <v>3</v>
      </c>
      <c r="F74">
        <v>1100</v>
      </c>
      <c r="G74">
        <v>0.52393000000000001</v>
      </c>
      <c r="H74">
        <v>3</v>
      </c>
      <c r="I74">
        <v>1100</v>
      </c>
      <c r="J74">
        <v>0.52393000000000001</v>
      </c>
      <c r="K74">
        <v>5445.0026571599992</v>
      </c>
      <c r="L74">
        <v>114</v>
      </c>
      <c r="M74">
        <v>5.2282481501497395</v>
      </c>
      <c r="N74" t="s">
        <v>49</v>
      </c>
    </row>
    <row r="75" spans="1:16" x14ac:dyDescent="0.25">
      <c r="A75">
        <v>2</v>
      </c>
      <c r="B75">
        <v>1100</v>
      </c>
      <c r="C75">
        <v>1500</v>
      </c>
      <c r="D75">
        <v>0.33</v>
      </c>
      <c r="E75">
        <v>1</v>
      </c>
      <c r="F75">
        <v>900</v>
      </c>
      <c r="G75">
        <v>0.63617251235193306</v>
      </c>
      <c r="H75">
        <v>1</v>
      </c>
      <c r="I75">
        <v>900</v>
      </c>
      <c r="J75">
        <v>0.63617251235193306</v>
      </c>
      <c r="K75">
        <v>6540.0810903556212</v>
      </c>
      <c r="L75">
        <v>114</v>
      </c>
      <c r="M75">
        <v>6.4213881841051208</v>
      </c>
      <c r="N75" t="s">
        <v>49</v>
      </c>
    </row>
    <row r="76" spans="1:16" x14ac:dyDescent="0.25">
      <c r="A76">
        <v>2</v>
      </c>
      <c r="B76">
        <v>1100</v>
      </c>
      <c r="C76">
        <v>2100</v>
      </c>
      <c r="D76">
        <v>0.33</v>
      </c>
      <c r="E76">
        <v>3</v>
      </c>
      <c r="F76">
        <v>1100</v>
      </c>
      <c r="G76">
        <v>0.52393000000000001</v>
      </c>
      <c r="H76">
        <v>3</v>
      </c>
      <c r="I76">
        <v>1100</v>
      </c>
      <c r="J76">
        <v>0.52393000000000001</v>
      </c>
      <c r="K76">
        <v>6784.2825771599992</v>
      </c>
      <c r="L76">
        <v>114</v>
      </c>
      <c r="M76">
        <v>7.9145507157676622</v>
      </c>
      <c r="N76" t="s">
        <v>49</v>
      </c>
    </row>
    <row r="77" spans="1:16" x14ac:dyDescent="0.25">
      <c r="A77">
        <f>M11</f>
        <v>0</v>
      </c>
      <c r="B77">
        <f>E13+E14+E15+G15+E16+E17</f>
        <v>0</v>
      </c>
      <c r="C77">
        <f>N11</f>
        <v>0</v>
      </c>
      <c r="D77">
        <f>O11</f>
        <v>0</v>
      </c>
      <c r="E77">
        <f>P11</f>
        <v>0</v>
      </c>
      <c r="F77">
        <f>E19+E20+E21+G21+E22+E23</f>
        <v>0</v>
      </c>
      <c r="G77">
        <f>Q11</f>
        <v>0</v>
      </c>
      <c r="H77">
        <f>R11</f>
        <v>0</v>
      </c>
      <c r="I77">
        <f>E25+E26+E27+G27+E28+E29</f>
        <v>457295.44008785533</v>
      </c>
      <c r="J77">
        <f>S11</f>
        <v>3</v>
      </c>
      <c r="K77">
        <f>T11</f>
        <v>0</v>
      </c>
      <c r="L77">
        <f>U11</f>
        <v>0</v>
      </c>
      <c r="M77">
        <f>V11</f>
        <v>1</v>
      </c>
      <c r="N77">
        <f>W11</f>
        <v>0</v>
      </c>
    </row>
    <row r="78" spans="1:16" x14ac:dyDescent="0.25">
      <c r="A78">
        <v>3</v>
      </c>
      <c r="B78">
        <v>900</v>
      </c>
      <c r="C78">
        <v>1500</v>
      </c>
      <c r="D78">
        <v>0.35072999999999999</v>
      </c>
      <c r="E78">
        <v>6</v>
      </c>
      <c r="F78">
        <v>400</v>
      </c>
      <c r="G78">
        <v>0.08</v>
      </c>
      <c r="H78">
        <v>0</v>
      </c>
      <c r="I78">
        <v>0</v>
      </c>
      <c r="J78">
        <v>0</v>
      </c>
      <c r="K78">
        <v>1472.05431</v>
      </c>
      <c r="L78">
        <v>76</v>
      </c>
      <c r="M78">
        <v>5.195483103336386</v>
      </c>
      <c r="N78" t="s">
        <v>49</v>
      </c>
    </row>
    <row r="79" spans="1:16" x14ac:dyDescent="0.25">
      <c r="A79">
        <v>1</v>
      </c>
      <c r="B79">
        <v>700</v>
      </c>
      <c r="C79">
        <v>1500</v>
      </c>
      <c r="D79">
        <v>0.38484510006474965</v>
      </c>
      <c r="E79">
        <v>9</v>
      </c>
      <c r="F79">
        <v>1300</v>
      </c>
      <c r="G79">
        <v>0.43073</v>
      </c>
      <c r="H79">
        <v>1</v>
      </c>
      <c r="I79">
        <v>400</v>
      </c>
      <c r="J79">
        <v>0.08</v>
      </c>
      <c r="K79">
        <v>3529.9935028940549</v>
      </c>
      <c r="L79">
        <v>89</v>
      </c>
      <c r="M79">
        <v>8.4747659265796482</v>
      </c>
      <c r="N79" t="s">
        <v>49</v>
      </c>
    </row>
    <row r="80" spans="1:16" x14ac:dyDescent="0.25">
      <c r="A80">
        <v>1</v>
      </c>
      <c r="B80">
        <v>700</v>
      </c>
      <c r="C80">
        <v>2100</v>
      </c>
      <c r="D80">
        <v>0.38484510006474965</v>
      </c>
      <c r="E80">
        <v>9</v>
      </c>
      <c r="F80">
        <v>1300</v>
      </c>
      <c r="G80">
        <v>0.43073</v>
      </c>
      <c r="H80">
        <v>1</v>
      </c>
      <c r="I80">
        <v>400</v>
      </c>
      <c r="J80">
        <v>0.08</v>
      </c>
      <c r="K80">
        <v>4400.4925001569918</v>
      </c>
      <c r="L80">
        <v>114</v>
      </c>
      <c r="M80">
        <v>5.3374700366186643</v>
      </c>
      <c r="N80" t="s">
        <v>49</v>
      </c>
    </row>
    <row r="81" spans="1:15" x14ac:dyDescent="0.25">
      <c r="A81">
        <v>1</v>
      </c>
      <c r="B81">
        <v>700</v>
      </c>
      <c r="C81">
        <v>2100</v>
      </c>
      <c r="D81">
        <v>0.38484510006474965</v>
      </c>
      <c r="E81">
        <v>7</v>
      </c>
      <c r="F81">
        <v>1100</v>
      </c>
      <c r="G81">
        <v>0.46484510006474966</v>
      </c>
      <c r="H81">
        <v>3</v>
      </c>
      <c r="I81">
        <v>700</v>
      </c>
      <c r="J81">
        <v>0.21217</v>
      </c>
      <c r="K81">
        <v>5514.0692760715347</v>
      </c>
      <c r="L81">
        <v>114</v>
      </c>
      <c r="M81">
        <v>6.9193577726197288</v>
      </c>
      <c r="N81" t="s">
        <v>49</v>
      </c>
    </row>
    <row r="90" spans="1:15" x14ac:dyDescent="0.25">
      <c r="A90">
        <v>2</v>
      </c>
      <c r="B90">
        <v>700</v>
      </c>
      <c r="C90">
        <v>600</v>
      </c>
      <c r="D90">
        <v>0.14000000000000001</v>
      </c>
      <c r="E90">
        <v>2</v>
      </c>
      <c r="F90">
        <v>400</v>
      </c>
      <c r="G90">
        <v>0.24</v>
      </c>
      <c r="H90">
        <v>3</v>
      </c>
      <c r="I90">
        <v>900</v>
      </c>
      <c r="J90">
        <v>0.35072999999999999</v>
      </c>
      <c r="K90">
        <v>1598.105376</v>
      </c>
      <c r="L90">
        <v>76</v>
      </c>
      <c r="M90">
        <v>3.6815039213699228</v>
      </c>
      <c r="N90" t="s">
        <v>48</v>
      </c>
      <c r="O90">
        <v>76</v>
      </c>
    </row>
    <row r="91" spans="1:15" x14ac:dyDescent="0.25">
      <c r="A91">
        <v>2</v>
      </c>
      <c r="B91">
        <v>700</v>
      </c>
      <c r="C91">
        <v>600</v>
      </c>
      <c r="D91">
        <v>0.14000000000000001</v>
      </c>
      <c r="E91">
        <v>2</v>
      </c>
      <c r="F91">
        <v>700</v>
      </c>
      <c r="G91">
        <v>0.49</v>
      </c>
      <c r="H91">
        <v>3</v>
      </c>
      <c r="I91">
        <v>900</v>
      </c>
      <c r="J91">
        <v>0.35072999999999999</v>
      </c>
      <c r="K91">
        <v>2152.2636360000001</v>
      </c>
      <c r="L91">
        <v>76</v>
      </c>
      <c r="M91">
        <v>5.0549232905418275</v>
      </c>
      <c r="N91" t="s">
        <v>49</v>
      </c>
      <c r="O91">
        <v>76</v>
      </c>
    </row>
    <row r="92" spans="1:15" x14ac:dyDescent="0.25">
      <c r="A92">
        <v>2</v>
      </c>
      <c r="B92">
        <v>1100</v>
      </c>
      <c r="C92">
        <v>800</v>
      </c>
      <c r="D92">
        <v>0.33</v>
      </c>
      <c r="E92">
        <v>3</v>
      </c>
      <c r="F92">
        <v>1100</v>
      </c>
      <c r="G92">
        <v>0.52393000000000001</v>
      </c>
      <c r="H92">
        <v>0</v>
      </c>
      <c r="I92">
        <v>0</v>
      </c>
      <c r="J92">
        <v>0</v>
      </c>
      <c r="K92">
        <v>1778.1906779999999</v>
      </c>
      <c r="L92">
        <v>76</v>
      </c>
      <c r="M92">
        <v>3.6547758802955297</v>
      </c>
      <c r="N92" t="s">
        <v>48</v>
      </c>
      <c r="O92">
        <v>89</v>
      </c>
    </row>
    <row r="93" spans="1:15" x14ac:dyDescent="0.25">
      <c r="A93">
        <v>2</v>
      </c>
      <c r="B93">
        <v>1100</v>
      </c>
      <c r="C93">
        <v>800</v>
      </c>
      <c r="D93">
        <v>0.33</v>
      </c>
      <c r="E93">
        <v>4</v>
      </c>
      <c r="F93">
        <v>1100</v>
      </c>
      <c r="G93">
        <v>0.52393000000000001</v>
      </c>
      <c r="H93">
        <v>0</v>
      </c>
      <c r="I93">
        <v>0</v>
      </c>
      <c r="J93">
        <v>0</v>
      </c>
      <c r="K93">
        <v>2089.4050980000002</v>
      </c>
      <c r="L93">
        <v>76</v>
      </c>
      <c r="M93">
        <v>5.2454361905582063</v>
      </c>
      <c r="N93" t="s">
        <v>49</v>
      </c>
      <c r="O93">
        <v>89</v>
      </c>
    </row>
    <row r="94" spans="1:15" x14ac:dyDescent="0.25">
      <c r="A94">
        <v>2</v>
      </c>
      <c r="B94">
        <v>900</v>
      </c>
      <c r="C94">
        <v>800</v>
      </c>
      <c r="D94">
        <v>0.81</v>
      </c>
      <c r="E94">
        <v>3</v>
      </c>
      <c r="F94">
        <v>1100</v>
      </c>
      <c r="G94">
        <v>0.52393000000000001</v>
      </c>
      <c r="H94">
        <v>0</v>
      </c>
      <c r="I94">
        <v>0</v>
      </c>
      <c r="J94">
        <v>0</v>
      </c>
      <c r="K94">
        <v>3419.8306379999995</v>
      </c>
      <c r="L94">
        <v>89</v>
      </c>
      <c r="M94">
        <v>5.1349126634721411</v>
      </c>
      <c r="N94" t="s">
        <v>49</v>
      </c>
      <c r="O94">
        <v>89</v>
      </c>
    </row>
    <row r="95" spans="1:15" x14ac:dyDescent="0.25">
      <c r="A95">
        <v>2</v>
      </c>
      <c r="B95">
        <v>900</v>
      </c>
      <c r="C95">
        <v>800</v>
      </c>
      <c r="D95">
        <v>0.81</v>
      </c>
      <c r="E95">
        <v>4</v>
      </c>
      <c r="F95">
        <v>1100</v>
      </c>
      <c r="G95">
        <v>0.52393000000000001</v>
      </c>
      <c r="H95">
        <v>0</v>
      </c>
      <c r="I95">
        <v>0</v>
      </c>
      <c r="J95">
        <v>0</v>
      </c>
      <c r="K95">
        <v>3731.0450579999997</v>
      </c>
      <c r="L95">
        <v>89</v>
      </c>
      <c r="M95">
        <v>6.3865188809752516</v>
      </c>
      <c r="N95" t="s">
        <v>49</v>
      </c>
      <c r="O95">
        <v>89</v>
      </c>
    </row>
    <row r="96" spans="1:15" x14ac:dyDescent="0.25">
      <c r="A96">
        <v>2</v>
      </c>
      <c r="B96">
        <v>600</v>
      </c>
      <c r="C96">
        <v>800</v>
      </c>
      <c r="D96">
        <v>0.54</v>
      </c>
      <c r="E96">
        <v>4</v>
      </c>
      <c r="F96">
        <v>1100</v>
      </c>
      <c r="G96">
        <v>0.52393000000000001</v>
      </c>
      <c r="H96">
        <v>0</v>
      </c>
      <c r="I96">
        <v>0</v>
      </c>
      <c r="J96">
        <v>0</v>
      </c>
      <c r="K96">
        <v>3184.2950580000002</v>
      </c>
      <c r="L96">
        <v>89</v>
      </c>
      <c r="M96">
        <v>5.6805711914109995</v>
      </c>
      <c r="N96" t="s">
        <v>49</v>
      </c>
      <c r="O96">
        <v>89</v>
      </c>
    </row>
    <row r="97" spans="1:15" x14ac:dyDescent="0.25">
      <c r="A97">
        <v>2</v>
      </c>
      <c r="B97">
        <v>900</v>
      </c>
      <c r="C97">
        <v>800</v>
      </c>
      <c r="D97">
        <v>0.54</v>
      </c>
      <c r="E97">
        <v>4</v>
      </c>
      <c r="F97">
        <v>1100</v>
      </c>
      <c r="G97">
        <v>0.52393000000000001</v>
      </c>
      <c r="H97">
        <v>0</v>
      </c>
      <c r="I97">
        <v>0</v>
      </c>
      <c r="J97">
        <v>0</v>
      </c>
      <c r="K97">
        <v>2798.4450779999997</v>
      </c>
      <c r="L97">
        <v>89</v>
      </c>
      <c r="M97">
        <v>4.3851757513295304</v>
      </c>
      <c r="N97" t="s">
        <v>48</v>
      </c>
      <c r="O97">
        <v>89</v>
      </c>
    </row>
    <row r="98" spans="1:15" x14ac:dyDescent="0.25">
      <c r="A98">
        <v>2</v>
      </c>
      <c r="B98">
        <v>1100</v>
      </c>
      <c r="C98">
        <v>800</v>
      </c>
      <c r="D98">
        <v>0.33</v>
      </c>
      <c r="E98">
        <v>2</v>
      </c>
      <c r="F98">
        <v>1100</v>
      </c>
      <c r="G98">
        <v>0.33</v>
      </c>
      <c r="H98">
        <v>3</v>
      </c>
      <c r="I98">
        <v>1100</v>
      </c>
      <c r="J98">
        <v>0.52393000000000001</v>
      </c>
      <c r="K98">
        <v>2742.5716560000001</v>
      </c>
      <c r="L98">
        <v>89</v>
      </c>
      <c r="M98">
        <v>3.6777040221211168</v>
      </c>
      <c r="N98" t="s">
        <v>48</v>
      </c>
      <c r="O98">
        <v>89</v>
      </c>
    </row>
    <row r="110" spans="1:15" x14ac:dyDescent="0.25">
      <c r="A110">
        <v>2</v>
      </c>
      <c r="B110">
        <v>700</v>
      </c>
      <c r="C110">
        <v>1500</v>
      </c>
      <c r="D110">
        <v>0.14000000000000001</v>
      </c>
      <c r="E110">
        <v>2</v>
      </c>
      <c r="F110">
        <v>400</v>
      </c>
      <c r="G110">
        <v>0.24</v>
      </c>
      <c r="H110">
        <v>3</v>
      </c>
      <c r="I110">
        <v>900</v>
      </c>
      <c r="J110">
        <v>0.35072999999999999</v>
      </c>
      <c r="K110">
        <v>2663.509716</v>
      </c>
      <c r="L110">
        <v>89</v>
      </c>
      <c r="M110">
        <v>5.394326274320604</v>
      </c>
      <c r="N110" t="s">
        <v>49</v>
      </c>
    </row>
    <row r="111" spans="1:15" x14ac:dyDescent="0.25">
      <c r="A111">
        <v>2</v>
      </c>
      <c r="B111">
        <v>700</v>
      </c>
      <c r="C111">
        <v>1500</v>
      </c>
      <c r="D111">
        <v>0.14000000000000001</v>
      </c>
      <c r="E111">
        <v>2</v>
      </c>
      <c r="F111">
        <v>700</v>
      </c>
      <c r="G111">
        <v>0.49</v>
      </c>
      <c r="H111">
        <v>3</v>
      </c>
      <c r="I111">
        <v>900</v>
      </c>
      <c r="J111">
        <v>0.35072999999999999</v>
      </c>
      <c r="K111">
        <v>3582.1679759999997</v>
      </c>
      <c r="L111">
        <v>89</v>
      </c>
      <c r="M111">
        <v>7.3666637725653201</v>
      </c>
      <c r="N111" t="s">
        <v>49</v>
      </c>
    </row>
    <row r="112" spans="1:15" x14ac:dyDescent="0.25">
      <c r="A112">
        <v>2</v>
      </c>
      <c r="B112">
        <v>1100</v>
      </c>
      <c r="C112">
        <v>1500</v>
      </c>
      <c r="D112">
        <v>0.33</v>
      </c>
      <c r="E112">
        <v>3</v>
      </c>
      <c r="F112">
        <v>1100</v>
      </c>
      <c r="G112">
        <v>0.52393000000000001</v>
      </c>
      <c r="H112">
        <v>0</v>
      </c>
      <c r="I112">
        <v>0</v>
      </c>
      <c r="J112">
        <v>0</v>
      </c>
      <c r="K112">
        <v>2746.5472979999995</v>
      </c>
      <c r="L112">
        <v>89</v>
      </c>
      <c r="M112">
        <v>4.7508958136699668</v>
      </c>
      <c r="N112" t="s">
        <v>48</v>
      </c>
    </row>
    <row r="113" spans="1:14" x14ac:dyDescent="0.25">
      <c r="A113">
        <v>2</v>
      </c>
      <c r="B113">
        <v>1100</v>
      </c>
      <c r="C113">
        <v>1500</v>
      </c>
      <c r="D113">
        <v>0.33</v>
      </c>
      <c r="E113">
        <v>4</v>
      </c>
      <c r="F113">
        <v>1100</v>
      </c>
      <c r="G113">
        <v>0.52393000000000001</v>
      </c>
      <c r="H113">
        <v>0</v>
      </c>
      <c r="I113">
        <v>0</v>
      </c>
      <c r="J113">
        <v>0</v>
      </c>
      <c r="K113">
        <v>3057.7617179999997</v>
      </c>
      <c r="L113">
        <v>89</v>
      </c>
      <c r="M113">
        <v>6.0434943612128231</v>
      </c>
      <c r="N113" t="s">
        <v>49</v>
      </c>
    </row>
    <row r="114" spans="1:14" x14ac:dyDescent="0.25">
      <c r="A114">
        <v>2</v>
      </c>
      <c r="B114">
        <v>900</v>
      </c>
      <c r="C114">
        <v>1500</v>
      </c>
      <c r="D114">
        <v>0.81</v>
      </c>
      <c r="E114">
        <v>3</v>
      </c>
      <c r="F114">
        <v>1100</v>
      </c>
      <c r="G114">
        <v>0.52393000000000001</v>
      </c>
      <c r="H114">
        <v>0</v>
      </c>
      <c r="I114">
        <v>0</v>
      </c>
      <c r="J114">
        <v>0</v>
      </c>
      <c r="K114">
        <v>4932.5072579999996</v>
      </c>
      <c r="L114">
        <v>114</v>
      </c>
      <c r="M114">
        <v>4.2839405755909787</v>
      </c>
      <c r="N114" t="s">
        <v>48</v>
      </c>
    </row>
    <row r="115" spans="1:14" x14ac:dyDescent="0.25">
      <c r="A115">
        <v>2</v>
      </c>
      <c r="B115">
        <v>900</v>
      </c>
      <c r="C115">
        <v>1500</v>
      </c>
      <c r="D115">
        <v>0.81</v>
      </c>
      <c r="E115">
        <v>4</v>
      </c>
      <c r="F115">
        <v>1100</v>
      </c>
      <c r="G115">
        <v>0.52393000000000001</v>
      </c>
      <c r="H115">
        <v>0</v>
      </c>
      <c r="I115">
        <v>0</v>
      </c>
      <c r="J115">
        <v>0</v>
      </c>
      <c r="K115">
        <v>5243.721677999999</v>
      </c>
      <c r="L115">
        <v>114</v>
      </c>
      <c r="M115">
        <v>4.9953590834865791</v>
      </c>
      <c r="N115" t="s">
        <v>48</v>
      </c>
    </row>
    <row r="116" spans="1:14" x14ac:dyDescent="0.25">
      <c r="A116">
        <v>2</v>
      </c>
      <c r="B116">
        <v>600</v>
      </c>
      <c r="C116">
        <v>1500</v>
      </c>
      <c r="D116">
        <v>0.54</v>
      </c>
      <c r="E116">
        <v>4</v>
      </c>
      <c r="F116">
        <v>1100</v>
      </c>
      <c r="G116">
        <v>0.52393000000000001</v>
      </c>
      <c r="H116">
        <v>0</v>
      </c>
      <c r="I116">
        <v>0</v>
      </c>
      <c r="J116">
        <v>0</v>
      </c>
      <c r="K116">
        <v>4390.7916779999996</v>
      </c>
      <c r="L116">
        <v>114</v>
      </c>
      <c r="M116">
        <v>4.3096385264851271</v>
      </c>
      <c r="N116" t="s">
        <v>48</v>
      </c>
    </row>
    <row r="117" spans="1:14" x14ac:dyDescent="0.25">
      <c r="A117">
        <v>2</v>
      </c>
      <c r="B117">
        <v>900</v>
      </c>
      <c r="C117">
        <v>1500</v>
      </c>
      <c r="D117">
        <v>0.54</v>
      </c>
      <c r="E117">
        <v>4</v>
      </c>
      <c r="F117">
        <v>1100</v>
      </c>
      <c r="G117">
        <v>0.52393000000000001</v>
      </c>
      <c r="H117">
        <v>0</v>
      </c>
      <c r="I117">
        <v>0</v>
      </c>
      <c r="J117">
        <v>0</v>
      </c>
      <c r="K117">
        <v>4004.9416979999996</v>
      </c>
      <c r="L117">
        <v>114</v>
      </c>
      <c r="M117">
        <v>3.5699100592801072</v>
      </c>
      <c r="N117" t="s">
        <v>48</v>
      </c>
    </row>
    <row r="130" spans="1:15" x14ac:dyDescent="0.25">
      <c r="A130">
        <v>2</v>
      </c>
      <c r="B130">
        <v>700</v>
      </c>
      <c r="C130">
        <v>2100</v>
      </c>
      <c r="D130">
        <v>0.14000000000000001</v>
      </c>
      <c r="E130">
        <v>2</v>
      </c>
      <c r="F130">
        <v>400</v>
      </c>
      <c r="G130">
        <v>0.24</v>
      </c>
      <c r="H130">
        <v>3</v>
      </c>
      <c r="I130">
        <v>900</v>
      </c>
      <c r="J130">
        <v>0.35072999999999999</v>
      </c>
      <c r="K130">
        <v>3373.7792759999998</v>
      </c>
      <c r="L130">
        <v>89</v>
      </c>
      <c r="M130">
        <v>8.5067574776893427</v>
      </c>
      <c r="N130" t="s">
        <v>49</v>
      </c>
    </row>
    <row r="131" spans="1:15" x14ac:dyDescent="0.25">
      <c r="A131">
        <v>2</v>
      </c>
      <c r="B131">
        <v>700</v>
      </c>
      <c r="C131">
        <v>2100</v>
      </c>
      <c r="D131">
        <v>0.14000000000000001</v>
      </c>
      <c r="E131">
        <v>2</v>
      </c>
      <c r="F131">
        <v>700</v>
      </c>
      <c r="G131">
        <v>0.49</v>
      </c>
      <c r="H131">
        <v>3</v>
      </c>
      <c r="I131">
        <v>900</v>
      </c>
      <c r="J131">
        <v>0.35072999999999999</v>
      </c>
      <c r="K131">
        <v>4535.4375360000004</v>
      </c>
      <c r="L131">
        <v>114</v>
      </c>
      <c r="M131">
        <v>4.8362868212078229</v>
      </c>
      <c r="N131" t="s">
        <v>48</v>
      </c>
    </row>
    <row r="132" spans="1:15" x14ac:dyDescent="0.25">
      <c r="A132">
        <v>2</v>
      </c>
      <c r="B132">
        <v>1100</v>
      </c>
      <c r="C132">
        <v>2100</v>
      </c>
      <c r="D132">
        <v>0.33</v>
      </c>
      <c r="E132">
        <v>3</v>
      </c>
      <c r="F132">
        <v>1100</v>
      </c>
      <c r="G132">
        <v>0.52393000000000001</v>
      </c>
      <c r="H132">
        <v>0</v>
      </c>
      <c r="I132">
        <v>0</v>
      </c>
      <c r="J132">
        <v>0</v>
      </c>
      <c r="K132">
        <v>3576.5672579999996</v>
      </c>
      <c r="L132">
        <v>89</v>
      </c>
      <c r="M132">
        <v>7.9644489625582775</v>
      </c>
      <c r="N132" t="s">
        <v>49</v>
      </c>
    </row>
    <row r="133" spans="1:15" x14ac:dyDescent="0.25">
      <c r="A133">
        <v>2</v>
      </c>
      <c r="B133">
        <v>1100</v>
      </c>
      <c r="C133">
        <v>2100</v>
      </c>
      <c r="D133">
        <v>0.33</v>
      </c>
      <c r="E133">
        <v>4</v>
      </c>
      <c r="F133">
        <v>1100</v>
      </c>
      <c r="G133">
        <v>0.52393000000000001</v>
      </c>
      <c r="H133">
        <v>0</v>
      </c>
      <c r="I133">
        <v>0</v>
      </c>
      <c r="J133">
        <v>0</v>
      </c>
      <c r="K133">
        <v>3887.7816779999998</v>
      </c>
      <c r="L133">
        <v>89</v>
      </c>
      <c r="M133">
        <v>9.6063598916503192</v>
      </c>
      <c r="N133" t="s">
        <v>49</v>
      </c>
    </row>
    <row r="134" spans="1:15" x14ac:dyDescent="0.25">
      <c r="A134">
        <v>2</v>
      </c>
      <c r="B134">
        <v>900</v>
      </c>
      <c r="C134">
        <v>2100</v>
      </c>
      <c r="D134">
        <v>0.81</v>
      </c>
      <c r="E134">
        <v>3</v>
      </c>
      <c r="F134">
        <v>1100</v>
      </c>
      <c r="G134">
        <v>0.52393000000000001</v>
      </c>
      <c r="H134">
        <v>0</v>
      </c>
      <c r="I134">
        <v>0</v>
      </c>
      <c r="J134">
        <v>0</v>
      </c>
      <c r="K134">
        <v>6229.0872179999988</v>
      </c>
      <c r="L134">
        <v>114</v>
      </c>
      <c r="M134">
        <v>6.7072973531457256</v>
      </c>
      <c r="N134" t="s">
        <v>49</v>
      </c>
    </row>
    <row r="135" spans="1:15" x14ac:dyDescent="0.25">
      <c r="A135">
        <v>2</v>
      </c>
      <c r="B135">
        <v>900</v>
      </c>
      <c r="C135">
        <v>2100</v>
      </c>
      <c r="D135">
        <v>0.81</v>
      </c>
      <c r="E135">
        <v>4</v>
      </c>
      <c r="F135">
        <v>1100</v>
      </c>
      <c r="G135">
        <v>0.52393000000000001</v>
      </c>
      <c r="H135">
        <v>0</v>
      </c>
      <c r="I135">
        <v>0</v>
      </c>
      <c r="J135">
        <v>0</v>
      </c>
      <c r="K135">
        <v>6540.301637999999</v>
      </c>
      <c r="L135">
        <v>114</v>
      </c>
      <c r="M135">
        <v>7.5861114574262629</v>
      </c>
      <c r="N135" t="s">
        <v>49</v>
      </c>
    </row>
    <row r="136" spans="1:15" x14ac:dyDescent="0.25">
      <c r="A136">
        <v>2</v>
      </c>
      <c r="B136">
        <v>600</v>
      </c>
      <c r="C136">
        <v>2100</v>
      </c>
      <c r="D136">
        <v>0.54</v>
      </c>
      <c r="E136">
        <v>4</v>
      </c>
      <c r="F136">
        <v>1100</v>
      </c>
      <c r="G136">
        <v>0.52393000000000001</v>
      </c>
      <c r="H136">
        <v>0</v>
      </c>
      <c r="I136">
        <v>0</v>
      </c>
      <c r="J136">
        <v>0</v>
      </c>
      <c r="K136">
        <v>5424.931638</v>
      </c>
      <c r="L136">
        <v>114</v>
      </c>
      <c r="M136">
        <v>6.4435734275899659</v>
      </c>
      <c r="N136" t="s">
        <v>49</v>
      </c>
    </row>
    <row r="137" spans="1:15" x14ac:dyDescent="0.25">
      <c r="A137">
        <v>2</v>
      </c>
      <c r="B137">
        <v>900</v>
      </c>
      <c r="C137">
        <v>2100</v>
      </c>
      <c r="D137">
        <v>0.54</v>
      </c>
      <c r="E137">
        <v>4</v>
      </c>
      <c r="F137">
        <v>1100</v>
      </c>
      <c r="G137">
        <v>0.52393000000000001</v>
      </c>
      <c r="H137">
        <v>0</v>
      </c>
      <c r="I137">
        <v>0</v>
      </c>
      <c r="J137">
        <v>0</v>
      </c>
      <c r="K137">
        <v>5039.0816580000001</v>
      </c>
      <c r="L137">
        <v>114</v>
      </c>
      <c r="M137">
        <v>5.5326640678846646</v>
      </c>
      <c r="N137" t="s">
        <v>49</v>
      </c>
    </row>
    <row r="138" spans="1:1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</sheetData>
  <sheetProtection selectLockedCells="1" selectUnlockedCells="1"/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C75A11"/>
  </sheetPr>
  <dimension ref="A2:G45"/>
  <sheetViews>
    <sheetView showGridLines="0" showRowColHeaders="0" topLeftCell="A19" zoomScaleNormal="100" workbookViewId="0">
      <selection activeCell="C10" sqref="C10"/>
    </sheetView>
  </sheetViews>
  <sheetFormatPr defaultRowHeight="13.2" x14ac:dyDescent="0.25"/>
  <cols>
    <col min="1" max="1" width="25.6640625" customWidth="1"/>
    <col min="2" max="3" width="15.6640625" customWidth="1"/>
    <col min="4" max="4" width="15.88671875" bestFit="1" customWidth="1"/>
    <col min="5" max="5" width="15.6640625" customWidth="1"/>
  </cols>
  <sheetData>
    <row r="2" spans="1:7" ht="12.75" customHeight="1" x14ac:dyDescent="0.5">
      <c r="A2" s="297" t="s">
        <v>360</v>
      </c>
      <c r="B2" s="297"/>
      <c r="C2" s="297"/>
      <c r="D2" s="297"/>
      <c r="E2" s="267"/>
      <c r="F2" s="267"/>
      <c r="G2" s="267"/>
    </row>
    <row r="3" spans="1:7" ht="12.75" customHeight="1" x14ac:dyDescent="0.5">
      <c r="A3" s="297"/>
      <c r="B3" s="297"/>
      <c r="C3" s="297"/>
      <c r="D3" s="297"/>
      <c r="E3" s="267"/>
      <c r="F3" s="267"/>
      <c r="G3" s="267"/>
    </row>
    <row r="4" spans="1:7" ht="12.75" customHeight="1" x14ac:dyDescent="0.5">
      <c r="A4" s="297"/>
      <c r="B4" s="297"/>
      <c r="C4" s="297"/>
      <c r="D4" s="297"/>
      <c r="E4" s="267"/>
      <c r="F4" s="267"/>
      <c r="G4" s="267"/>
    </row>
    <row r="5" spans="1:7" ht="12.75" customHeight="1" x14ac:dyDescent="0.5">
      <c r="A5" s="280"/>
      <c r="B5" s="280"/>
      <c r="C5" s="280"/>
      <c r="D5" s="280"/>
      <c r="E5" s="280"/>
      <c r="F5" s="267"/>
      <c r="G5" s="267"/>
    </row>
    <row r="6" spans="1:7" ht="12.75" customHeight="1" x14ac:dyDescent="0.5">
      <c r="A6" s="280"/>
      <c r="B6" s="280"/>
      <c r="C6" s="280"/>
      <c r="D6" s="280"/>
      <c r="E6" s="280"/>
      <c r="F6" s="267"/>
      <c r="G6" s="267"/>
    </row>
    <row r="7" spans="1:7" ht="30" x14ac:dyDescent="0.5">
      <c r="A7" s="239"/>
      <c r="B7" s="239"/>
      <c r="C7" s="239"/>
      <c r="D7" s="239"/>
      <c r="E7" s="239"/>
      <c r="F7" s="239"/>
      <c r="G7" s="239"/>
    </row>
    <row r="9" spans="1:7" x14ac:dyDescent="0.25">
      <c r="A9" s="2"/>
      <c r="C9" s="203"/>
      <c r="D9" s="203"/>
      <c r="E9" s="204"/>
      <c r="F9" s="204"/>
    </row>
    <row r="10" spans="1:7" x14ac:dyDescent="0.25">
      <c r="A10" s="214" t="s">
        <v>356</v>
      </c>
      <c r="B10" s="211" t="s">
        <v>321</v>
      </c>
      <c r="C10" s="252">
        <v>0.8</v>
      </c>
      <c r="D10" s="253" t="s">
        <v>183</v>
      </c>
      <c r="E10" s="204"/>
      <c r="F10" s="204"/>
    </row>
    <row r="11" spans="1:7" x14ac:dyDescent="0.25">
      <c r="A11" s="214" t="s">
        <v>357</v>
      </c>
      <c r="B11" s="222" t="s">
        <v>335</v>
      </c>
      <c r="C11" s="252">
        <v>0.6</v>
      </c>
      <c r="D11" s="253" t="s">
        <v>183</v>
      </c>
      <c r="E11" s="204"/>
      <c r="F11" s="204"/>
    </row>
    <row r="12" spans="1:7" x14ac:dyDescent="0.25">
      <c r="A12" s="214" t="s">
        <v>358</v>
      </c>
      <c r="B12" s="222" t="s">
        <v>334</v>
      </c>
      <c r="C12" s="252">
        <v>0.6</v>
      </c>
      <c r="D12" s="253" t="s">
        <v>183</v>
      </c>
      <c r="E12" s="204"/>
      <c r="F12" s="204"/>
    </row>
    <row r="13" spans="1:7" x14ac:dyDescent="0.25">
      <c r="B13" s="205" t="s">
        <v>322</v>
      </c>
      <c r="C13" s="254">
        <f>C10*C11*C12</f>
        <v>0.28799999999999998</v>
      </c>
      <c r="D13" s="255" t="s">
        <v>323</v>
      </c>
      <c r="E13" s="204"/>
      <c r="F13" s="204"/>
    </row>
    <row r="14" spans="1:7" x14ac:dyDescent="0.25">
      <c r="E14" s="204"/>
      <c r="F14" s="204"/>
    </row>
    <row r="15" spans="1:7" x14ac:dyDescent="0.25">
      <c r="E15" s="204"/>
      <c r="F15" s="204"/>
    </row>
    <row r="16" spans="1:7" x14ac:dyDescent="0.25">
      <c r="C16" s="204"/>
      <c r="D16" s="204"/>
      <c r="E16" s="204"/>
      <c r="F16" s="204"/>
    </row>
    <row r="17" spans="1:6" x14ac:dyDescent="0.25">
      <c r="C17" s="204"/>
      <c r="D17" s="204"/>
      <c r="E17" s="204"/>
      <c r="F17" s="204"/>
    </row>
    <row r="18" spans="1:6" x14ac:dyDescent="0.25">
      <c r="C18" s="204"/>
      <c r="D18" s="204"/>
      <c r="E18" s="204"/>
      <c r="F18" s="204"/>
    </row>
    <row r="19" spans="1:6" x14ac:dyDescent="0.25">
      <c r="C19" s="204"/>
      <c r="D19" s="204"/>
      <c r="E19" s="204"/>
      <c r="F19" s="204"/>
    </row>
    <row r="20" spans="1:6" x14ac:dyDescent="0.25">
      <c r="C20" s="206" t="s">
        <v>324</v>
      </c>
      <c r="D20" s="204"/>
      <c r="E20" s="204"/>
      <c r="F20" s="204"/>
    </row>
    <row r="21" spans="1:6" x14ac:dyDescent="0.25">
      <c r="B21" s="207" t="s">
        <v>330</v>
      </c>
      <c r="C21" s="208">
        <v>2800</v>
      </c>
      <c r="D21" s="204"/>
      <c r="E21" s="204"/>
      <c r="F21" s="204"/>
    </row>
    <row r="22" spans="1:6" x14ac:dyDescent="0.25">
      <c r="B22" s="207" t="s">
        <v>331</v>
      </c>
      <c r="C22" s="209">
        <v>5200</v>
      </c>
      <c r="E22" s="204"/>
      <c r="F22" s="204"/>
    </row>
    <row r="23" spans="1:6" x14ac:dyDescent="0.25">
      <c r="B23" s="207" t="s">
        <v>332</v>
      </c>
      <c r="C23" s="209">
        <v>6700</v>
      </c>
      <c r="E23" s="204"/>
      <c r="F23" s="204"/>
    </row>
    <row r="24" spans="1:6" x14ac:dyDescent="0.25">
      <c r="B24" s="207" t="s">
        <v>333</v>
      </c>
      <c r="C24" s="209">
        <v>7200</v>
      </c>
      <c r="E24" s="204"/>
      <c r="F24" s="204"/>
    </row>
    <row r="25" spans="1:6" x14ac:dyDescent="0.25">
      <c r="B25" s="7"/>
      <c r="C25" s="258"/>
      <c r="D25" s="7"/>
      <c r="E25" s="204"/>
      <c r="F25" s="204"/>
    </row>
    <row r="26" spans="1:6" x14ac:dyDescent="0.25">
      <c r="A26" s="250" t="s">
        <v>359</v>
      </c>
      <c r="B26" s="251" t="s">
        <v>373</v>
      </c>
      <c r="C26" s="266">
        <v>6700</v>
      </c>
      <c r="E26" s="204"/>
      <c r="F26" s="204"/>
    </row>
    <row r="27" spans="1:6" x14ac:dyDescent="0.25">
      <c r="B27" s="210" t="s">
        <v>325</v>
      </c>
      <c r="C27" s="22">
        <v>9.81</v>
      </c>
      <c r="D27" t="s">
        <v>326</v>
      </c>
      <c r="E27" s="204"/>
      <c r="F27" s="204"/>
    </row>
    <row r="28" spans="1:6" x14ac:dyDescent="0.25">
      <c r="B28" s="210" t="s">
        <v>327</v>
      </c>
      <c r="C28" s="22">
        <v>2400</v>
      </c>
      <c r="D28" t="s">
        <v>328</v>
      </c>
      <c r="E28" s="204"/>
      <c r="F28" s="204"/>
    </row>
    <row r="29" spans="1:6" x14ac:dyDescent="0.25">
      <c r="D29" s="204"/>
      <c r="E29" s="204"/>
      <c r="F29" s="204"/>
    </row>
    <row r="30" spans="1:6" x14ac:dyDescent="0.25">
      <c r="B30" s="223" t="s">
        <v>329</v>
      </c>
      <c r="C30" s="257">
        <f>((C26*C10^3*C11) + (12000*C10*C12^2*C11))/1000</f>
        <v>4.1318400000000004</v>
      </c>
      <c r="D30" s="204" t="s">
        <v>199</v>
      </c>
      <c r="E30" s="204"/>
      <c r="F30" s="204"/>
    </row>
    <row r="31" spans="1:6" x14ac:dyDescent="0.25">
      <c r="E31" s="204"/>
      <c r="F31" s="204"/>
    </row>
    <row r="32" spans="1:6" x14ac:dyDescent="0.25">
      <c r="B32" t="s">
        <v>336</v>
      </c>
      <c r="C32">
        <f>C28*C13</f>
        <v>691.19999999999993</v>
      </c>
      <c r="D32" t="s">
        <v>337</v>
      </c>
      <c r="F32" s="204"/>
    </row>
    <row r="33" spans="1:6" x14ac:dyDescent="0.25">
      <c r="F33" s="204"/>
    </row>
    <row r="34" spans="1:6" x14ac:dyDescent="0.25">
      <c r="F34" s="204"/>
    </row>
    <row r="35" spans="1:6" x14ac:dyDescent="0.25">
      <c r="F35" s="204"/>
    </row>
    <row r="36" spans="1:6" x14ac:dyDescent="0.25">
      <c r="A36" s="214" t="s">
        <v>392</v>
      </c>
      <c r="C36" s="281" t="s">
        <v>391</v>
      </c>
      <c r="D36" s="214" t="s">
        <v>394</v>
      </c>
      <c r="E36" s="285" t="s">
        <v>395</v>
      </c>
      <c r="F36" s="204"/>
    </row>
    <row r="37" spans="1:6" x14ac:dyDescent="0.25">
      <c r="B37" s="222" t="s">
        <v>355</v>
      </c>
      <c r="C37" s="282">
        <f>berekeningsprogramma!D73/1000</f>
        <v>5.8226031257895814</v>
      </c>
      <c r="D37" s="283">
        <f>berekeningsprogramma!K73/1000</f>
        <v>2.9113015628947907</v>
      </c>
      <c r="E37" s="283">
        <f>berekeningsprogramma!Q73/1000</f>
        <v>1.9408677085965271</v>
      </c>
      <c r="F37" s="204" t="s">
        <v>199</v>
      </c>
    </row>
    <row r="38" spans="1:6" x14ac:dyDescent="0.25">
      <c r="B38" s="223" t="str">
        <f>B30</f>
        <v xml:space="preserve">Mst = </v>
      </c>
      <c r="C38" s="284">
        <f>C30</f>
        <v>4.1318400000000004</v>
      </c>
      <c r="D38" s="282">
        <f>C30</f>
        <v>4.1318400000000004</v>
      </c>
      <c r="E38" s="283">
        <f>C30</f>
        <v>4.1318400000000004</v>
      </c>
      <c r="F38" s="204" t="s">
        <v>199</v>
      </c>
    </row>
    <row r="39" spans="1:6" x14ac:dyDescent="0.25">
      <c r="B39" s="22"/>
      <c r="D39" s="204"/>
      <c r="E39" s="204"/>
      <c r="F39" s="204"/>
    </row>
    <row r="40" spans="1:6" x14ac:dyDescent="0.25">
      <c r="A40" s="214" t="s">
        <v>393</v>
      </c>
      <c r="B40" s="224" t="str">
        <f>IF(C37*1.5&lt;C38,"Mst &gt; 1,5 Mb","Mst &lt; 1,5  Mb")</f>
        <v>Mst &lt; 1,5  Mb</v>
      </c>
      <c r="C40" s="256" t="str">
        <f>IF(C37*1.5&lt;C38,"OK","not OK")</f>
        <v>not OK</v>
      </c>
      <c r="D40" s="256" t="str">
        <f t="shared" ref="D40:E40" si="0">IF(D37*1.5&lt;D38,"OK","not OK")</f>
        <v>not OK</v>
      </c>
      <c r="E40" s="256" t="str">
        <f t="shared" si="0"/>
        <v>OK</v>
      </c>
      <c r="F40" s="204"/>
    </row>
    <row r="44" spans="1:6" x14ac:dyDescent="0.25">
      <c r="A44" s="2" t="s">
        <v>389</v>
      </c>
    </row>
    <row r="45" spans="1:6" x14ac:dyDescent="0.25">
      <c r="A45" s="2" t="s">
        <v>390</v>
      </c>
    </row>
  </sheetData>
  <sheetProtection password="CBEB" sheet="1" objects="1" scenarios="1" selectLockedCells="1"/>
  <dataConsolidate/>
  <mergeCells count="1">
    <mergeCell ref="A2:D4"/>
  </mergeCells>
  <conditionalFormatting sqref="C40:E40">
    <cfRule type="cellIs" dxfId="1" priority="1" operator="equal">
      <formula>"not OK"</formula>
    </cfRule>
    <cfRule type="cellIs" dxfId="0" priority="2" operator="equal">
      <formula>"OK"</formula>
    </cfRule>
  </conditionalFormatting>
  <dataValidations xWindow="576" yWindow="343" count="4">
    <dataValidation type="list" allowBlank="1" showInputMessage="1" showErrorMessage="1" promptTitle="Ondergrond" prompt="Kies k waarde ahv type ondergrond." sqref="C26">
      <formula1>Kies_k</formula1>
    </dataValidation>
    <dataValidation type="decimal" allowBlank="1" showInputMessage="1" showErrorMessage="1" errorTitle="Foutieve diepte" error="Moet minimaal 0,3 m zijn." promptTitle="Afmetingen sokkel" prompt="Geef de gewenste afmeting op van de sokkel volgens figuur. In dit geval de diepte ofwel loodrecht op het bord gemeten." sqref="C12">
      <formula1>0.3</formula1>
      <formula2>2</formula2>
    </dataValidation>
    <dataValidation type="decimal" allowBlank="1" showInputMessage="1" showErrorMessage="1" errorTitle="Foutieve breedte" error="Moet minimaal 0,3 m zijn." promptTitle="Afmetingen sokkel" prompt="Geef de gewenste afmeting op van de sokkel volgens figuur. In dit geval de breedte van de sokkel evenwijdig met het beeldvlak van het bord" sqref="C11">
      <formula1>0.3</formula1>
      <formula2>2</formula2>
    </dataValidation>
    <dataValidation type="decimal" allowBlank="1" showInputMessage="1" showErrorMessage="1" errorTitle="Foutieve hoogte" error="Moet minimaal 0,6 m zijn." promptTitle="Afmetingen sokkel" prompt="Geef de gewenste afmeting op van de sokkel volgens figuur. In dit geval de hoogte van de sokkel. Moet minimaal 0,6m zijn." sqref="C10">
      <formula1>0.6</formula1>
      <formula2>2</formula2>
    </dataValidation>
  </dataValidation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15</vt:i4>
      </vt:variant>
    </vt:vector>
  </HeadingPairs>
  <TitlesOfParts>
    <vt:vector size="26" baseType="lpstr">
      <vt:lpstr>Invoer en resultaten</vt:lpstr>
      <vt:lpstr>Gegevens</vt:lpstr>
      <vt:lpstr>vakwerk gegevens</vt:lpstr>
      <vt:lpstr>constanten Norm</vt:lpstr>
      <vt:lpstr>berekeningsprogramma</vt:lpstr>
      <vt:lpstr>krachten 100%</vt:lpstr>
      <vt:lpstr>krachten 50%</vt:lpstr>
      <vt:lpstr>krachten 30%</vt:lpstr>
      <vt:lpstr>Sokkelberekening</vt:lpstr>
      <vt:lpstr>Print</vt:lpstr>
      <vt:lpstr>Blad1</vt:lpstr>
      <vt:lpstr>Gegevens!Afdrukbereik</vt:lpstr>
      <vt:lpstr>'Invoer en resultaten'!Afdrukbereik</vt:lpstr>
      <vt:lpstr>Print!Afdrukbereik</vt:lpstr>
      <vt:lpstr>Sokkelberekening!Afdrukbereik</vt:lpstr>
      <vt:lpstr>B</vt:lpstr>
      <vt:lpstr>D</vt:lpstr>
      <vt:lpstr>H</vt:lpstr>
      <vt:lpstr>Sokkelberekening!height2</vt:lpstr>
      <vt:lpstr>k_</vt:lpstr>
      <vt:lpstr>Sokkelberekening!Kies_k</vt:lpstr>
      <vt:lpstr>kies_k</vt:lpstr>
      <vt:lpstr>Sokkelberekening!LANGUAGE</vt:lpstr>
      <vt:lpstr>Mst</vt:lpstr>
      <vt:lpstr>Sokkelberekening!TAALTABEL</vt:lpstr>
      <vt:lpstr>volume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debruymd</dc:creator>
  <cp:lastModifiedBy>De Winne, Karen</cp:lastModifiedBy>
  <cp:lastPrinted>2014-12-11T12:30:29Z</cp:lastPrinted>
  <dcterms:created xsi:type="dcterms:W3CDTF">2008-10-08T08:31:03Z</dcterms:created>
  <dcterms:modified xsi:type="dcterms:W3CDTF">2020-08-12T08:10:45Z</dcterms:modified>
</cp:coreProperties>
</file>